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C5F36A73-B4B6-4FE4-B694-DE889155C6DA}" xr6:coauthVersionLast="47" xr6:coauthVersionMax="47" xr10:uidLastSave="{00000000-0000-0000-0000-000000000000}"/>
  <bookViews>
    <workbookView xWindow="-120" yWindow="-120" windowWidth="29040" windowHeight="15720" tabRatio="915" activeTab="12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meta18!$G$4:$O$16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4" i="31" l="1"/>
  <c r="AN6" i="25" l="1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Y13" i="25" s="1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E13" i="25" l="1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S16" i="12" l="1"/>
  <c r="I10" i="16"/>
  <c r="U10" i="16" s="1"/>
  <c r="I15" i="20"/>
  <c r="U15" i="20" s="1"/>
  <c r="I14" i="20"/>
  <c r="U14" i="20" s="1"/>
  <c r="I13" i="20"/>
  <c r="U13" i="20" s="1"/>
  <c r="I12" i="20"/>
  <c r="U12" i="20" s="1"/>
  <c r="I11" i="20"/>
  <c r="U11" i="20" s="1"/>
  <c r="I10" i="20"/>
  <c r="U10" i="20" s="1"/>
  <c r="I9" i="20"/>
  <c r="U9" i="20" s="1"/>
  <c r="V10" i="26"/>
  <c r="U10" i="26"/>
  <c r="I13" i="16" s="1"/>
  <c r="U13" i="16" s="1"/>
  <c r="V12" i="26"/>
  <c r="U12" i="26"/>
  <c r="I15" i="16" s="1"/>
  <c r="U15" i="16" s="1"/>
  <c r="V11" i="26"/>
  <c r="U11" i="26"/>
  <c r="I14" i="16" s="1"/>
  <c r="U14" i="16" s="1"/>
  <c r="V9" i="26"/>
  <c r="U9" i="26"/>
  <c r="I12" i="16" s="1"/>
  <c r="U12" i="16" s="1"/>
  <c r="V8" i="26"/>
  <c r="U8" i="26"/>
  <c r="I11" i="16" s="1"/>
  <c r="U11" i="16" s="1"/>
  <c r="V6" i="26"/>
  <c r="V7" i="26"/>
  <c r="T12" i="26"/>
  <c r="T11" i="26"/>
  <c r="T10" i="26"/>
  <c r="T9" i="26"/>
  <c r="T8" i="26"/>
  <c r="T7" i="26"/>
  <c r="T6" i="26"/>
  <c r="I16" i="20" l="1"/>
  <c r="U16" i="20" s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s="1"/>
  <c r="P12" i="26" l="1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U15" i="18" l="1"/>
  <c r="U15" i="17"/>
  <c r="U14" i="18"/>
  <c r="U14" i="17"/>
  <c r="U13" i="18"/>
  <c r="U13" i="17"/>
  <c r="U12" i="18"/>
  <c r="U12" i="17"/>
  <c r="U11" i="18"/>
  <c r="U11" i="17"/>
  <c r="U10" i="18"/>
  <c r="U10" i="17"/>
  <c r="I16" i="18"/>
  <c r="U9" i="18"/>
  <c r="U9" i="17"/>
  <c r="I16" i="17"/>
  <c r="H5" i="30"/>
  <c r="H4" i="30"/>
  <c r="H17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U16" i="17"/>
  <c r="U16" i="18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W4" i="20"/>
  <c r="AI5" i="19"/>
  <c r="W4" i="18"/>
  <c r="W4" i="17"/>
  <c r="W4" i="16"/>
  <c r="AT5" i="15"/>
  <c r="V4" i="14"/>
  <c r="AH5" i="13"/>
  <c r="AI5" i="12"/>
  <c r="AI5" i="11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U9" i="31" l="1"/>
  <c r="AD13" i="23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Q17" i="12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L8" i="20"/>
  <c r="L12" i="20" s="1"/>
  <c r="X8" i="19"/>
  <c r="X9" i="19" s="1"/>
  <c r="L8" i="18"/>
  <c r="L14" i="18" s="1"/>
  <c r="L8" i="17"/>
  <c r="L14" i="17" s="1"/>
  <c r="L8" i="16"/>
  <c r="L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R15" i="31"/>
  <c r="Q15" i="31"/>
  <c r="P15" i="31"/>
  <c r="T14" i="31"/>
  <c r="S14" i="31"/>
  <c r="R14" i="31"/>
  <c r="Q14" i="31"/>
  <c r="P14" i="31"/>
  <c r="T13" i="31"/>
  <c r="S13" i="31"/>
  <c r="R13" i="31"/>
  <c r="Q13" i="31"/>
  <c r="P13" i="31"/>
  <c r="T12" i="31"/>
  <c r="S12" i="31"/>
  <c r="R12" i="31"/>
  <c r="Q12" i="31"/>
  <c r="P12" i="31"/>
  <c r="T11" i="31"/>
  <c r="S11" i="31"/>
  <c r="R11" i="31"/>
  <c r="Q11" i="31"/>
  <c r="P11" i="31"/>
  <c r="T10" i="31"/>
  <c r="S10" i="31"/>
  <c r="R10" i="31"/>
  <c r="Q10" i="31"/>
  <c r="P10" i="31"/>
  <c r="T9" i="31"/>
  <c r="S9" i="31"/>
  <c r="R9" i="31"/>
  <c r="Q9" i="31"/>
  <c r="P9" i="31"/>
  <c r="Y8" i="31"/>
  <c r="X6" i="31"/>
  <c r="X2" i="31"/>
  <c r="AI8" i="5"/>
  <c r="W8" i="4"/>
  <c r="W12" i="4" s="1"/>
  <c r="AJ9" i="5"/>
  <c r="Y8" i="6"/>
  <c r="Y13" i="6" s="1"/>
  <c r="M8" i="20"/>
  <c r="Y8" i="19"/>
  <c r="M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X10" i="13" l="1"/>
  <c r="X12" i="13"/>
  <c r="Y10" i="8"/>
  <c r="Y14" i="8"/>
  <c r="Y15" i="8"/>
  <c r="Y9" i="8"/>
  <c r="Y11" i="8"/>
  <c r="Y16" i="8"/>
  <c r="Y12" i="8"/>
  <c r="Y13" i="8"/>
  <c r="M9" i="16"/>
  <c r="Y9" i="19"/>
  <c r="Y16" i="19"/>
  <c r="Y10" i="19"/>
  <c r="Y15" i="19"/>
  <c r="Y11" i="19"/>
  <c r="Y12" i="19"/>
  <c r="Y13" i="19"/>
  <c r="Y14" i="19"/>
  <c r="X11" i="13"/>
  <c r="O16" i="31"/>
  <c r="M14" i="17"/>
  <c r="M12" i="20"/>
  <c r="L11" i="20"/>
  <c r="M11" i="20" s="1"/>
  <c r="M14" i="18"/>
  <c r="L10" i="20"/>
  <c r="M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L9" i="17"/>
  <c r="M9" i="17" s="1"/>
  <c r="L16" i="17"/>
  <c r="M16" i="17" s="1"/>
  <c r="L15" i="17"/>
  <c r="M15" i="17" s="1"/>
  <c r="W16" i="9"/>
  <c r="L12" i="17"/>
  <c r="M12" i="17" s="1"/>
  <c r="L11" i="17"/>
  <c r="M11" i="17" s="1"/>
  <c r="W14" i="9"/>
  <c r="X13" i="12"/>
  <c r="Y13" i="12" s="1"/>
  <c r="L10" i="17"/>
  <c r="M10" i="17" s="1"/>
  <c r="L9" i="20"/>
  <c r="M9" i="20" s="1"/>
  <c r="W13" i="9"/>
  <c r="X12" i="12"/>
  <c r="Y12" i="12" s="1"/>
  <c r="L16" i="20"/>
  <c r="M16" i="20" s="1"/>
  <c r="L13" i="17"/>
  <c r="M13" i="17" s="1"/>
  <c r="W12" i="9"/>
  <c r="X11" i="12"/>
  <c r="Y11" i="12" s="1"/>
  <c r="L15" i="20"/>
  <c r="M15" i="20" s="1"/>
  <c r="W9" i="9"/>
  <c r="W15" i="9"/>
  <c r="W11" i="9"/>
  <c r="X10" i="12"/>
  <c r="Y10" i="12" s="1"/>
  <c r="L14" i="20"/>
  <c r="M14" i="20" s="1"/>
  <c r="X9" i="8"/>
  <c r="X17" i="12"/>
  <c r="Y17" i="12" s="1"/>
  <c r="L13" i="20"/>
  <c r="M13" i="20" s="1"/>
  <c r="Y14" i="12"/>
  <c r="L16" i="18"/>
  <c r="M16" i="18" s="1"/>
  <c r="L13" i="18"/>
  <c r="M13" i="18" s="1"/>
  <c r="L9" i="18"/>
  <c r="M9" i="18" s="1"/>
  <c r="L12" i="18"/>
  <c r="M12" i="18" s="1"/>
  <c r="L11" i="18"/>
  <c r="M11" i="18" s="1"/>
  <c r="L10" i="18"/>
  <c r="M10" i="18" s="1"/>
  <c r="L15" i="18"/>
  <c r="M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L10" i="16"/>
  <c r="M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L6" i="20"/>
  <c r="X6" i="19"/>
  <c r="L6" i="18"/>
  <c r="L6" i="17"/>
  <c r="L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L11" i="16"/>
  <c r="AE16" i="31"/>
  <c r="AF16" i="31" s="1"/>
  <c r="AE9" i="31"/>
  <c r="AF9" i="31" s="1"/>
  <c r="Q13" i="27"/>
  <c r="CZ6" i="25"/>
  <c r="CL6" i="25"/>
  <c r="BX6" i="25"/>
  <c r="BJ6" i="25"/>
  <c r="L12" i="16" l="1"/>
  <c r="M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U12" i="25"/>
  <c r="DV12" i="25"/>
  <c r="DW12" i="25"/>
  <c r="DX12" i="25"/>
  <c r="DN11" i="25"/>
  <c r="DO11" i="25"/>
  <c r="DP11" i="25"/>
  <c r="DQ11" i="25"/>
  <c r="DR11" i="25"/>
  <c r="DS11" i="25"/>
  <c r="DU11" i="25"/>
  <c r="DV11" i="25"/>
  <c r="DW11" i="25"/>
  <c r="DX11" i="25"/>
  <c r="DM10" i="25"/>
  <c r="DN10" i="25"/>
  <c r="DO10" i="25"/>
  <c r="DP10" i="25"/>
  <c r="DQ10" i="25"/>
  <c r="DR10" i="25"/>
  <c r="DS10" i="25"/>
  <c r="DU10" i="25"/>
  <c r="DV10" i="25"/>
  <c r="DW10" i="25"/>
  <c r="DX10" i="25"/>
  <c r="DN9" i="25"/>
  <c r="DO9" i="25"/>
  <c r="DP9" i="25"/>
  <c r="DQ9" i="25"/>
  <c r="DR9" i="25"/>
  <c r="DS9" i="25"/>
  <c r="DU9" i="25"/>
  <c r="DV9" i="25"/>
  <c r="DW9" i="25"/>
  <c r="DX9" i="25"/>
  <c r="DN8" i="25"/>
  <c r="DO8" i="25"/>
  <c r="DP8" i="25"/>
  <c r="DQ8" i="25"/>
  <c r="DR8" i="25"/>
  <c r="DS8" i="25"/>
  <c r="DU8" i="25"/>
  <c r="DV8" i="25"/>
  <c r="DW8" i="25"/>
  <c r="DX8" i="25"/>
  <c r="DN7" i="25"/>
  <c r="DO7" i="25"/>
  <c r="DP7" i="25"/>
  <c r="DQ7" i="25"/>
  <c r="DR7" i="25"/>
  <c r="DS7" i="25"/>
  <c r="DU7" i="25"/>
  <c r="DV7" i="25"/>
  <c r="DW7" i="25"/>
  <c r="DX7" i="25"/>
  <c r="DN6" i="25"/>
  <c r="DO6" i="25"/>
  <c r="DP6" i="25"/>
  <c r="DQ6" i="25"/>
  <c r="DS6" i="25"/>
  <c r="DU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L13" i="16" l="1"/>
  <c r="M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L14" i="16"/>
  <c r="M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L15" i="16"/>
  <c r="M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L16" i="16" l="1"/>
  <c r="M16" i="16" s="1"/>
  <c r="M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P10" i="20"/>
  <c r="P11" i="20"/>
  <c r="P12" i="20"/>
  <c r="P13" i="20"/>
  <c r="P14" i="20"/>
  <c r="P15" i="20"/>
  <c r="P16" i="20"/>
  <c r="E23" i="30" s="1"/>
  <c r="P9" i="20"/>
  <c r="J10" i="20"/>
  <c r="J11" i="20"/>
  <c r="J12" i="20"/>
  <c r="J13" i="20"/>
  <c r="J14" i="20"/>
  <c r="J15" i="20"/>
  <c r="J9" i="20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P10" i="18"/>
  <c r="P11" i="18"/>
  <c r="P12" i="18"/>
  <c r="P13" i="18"/>
  <c r="P14" i="18"/>
  <c r="P15" i="18"/>
  <c r="P16" i="18"/>
  <c r="E21" i="30" s="1"/>
  <c r="P9" i="18"/>
  <c r="AN12" i="27"/>
  <c r="J15" i="18" s="1"/>
  <c r="P10" i="17"/>
  <c r="P11" i="17"/>
  <c r="P12" i="17"/>
  <c r="P13" i="17"/>
  <c r="P14" i="17"/>
  <c r="P15" i="17"/>
  <c r="P16" i="17"/>
  <c r="E20" i="30" s="1"/>
  <c r="P9" i="17"/>
  <c r="AH6" i="27"/>
  <c r="J9" i="17" s="1"/>
  <c r="AH12" i="27"/>
  <c r="J15" i="17" s="1"/>
  <c r="S13" i="20" l="1"/>
  <c r="K13" i="20"/>
  <c r="S9" i="17"/>
  <c r="K9" i="17"/>
  <c r="S11" i="20"/>
  <c r="T11" i="20" s="1"/>
  <c r="K11" i="20"/>
  <c r="S12" i="20"/>
  <c r="K12" i="20"/>
  <c r="S15" i="18"/>
  <c r="T15" i="18" s="1"/>
  <c r="K15" i="18"/>
  <c r="S10" i="20"/>
  <c r="K10" i="20"/>
  <c r="S14" i="20"/>
  <c r="T14" i="20" s="1"/>
  <c r="V14" i="20" s="1"/>
  <c r="W14" i="20" s="1"/>
  <c r="K14" i="20"/>
  <c r="S9" i="20"/>
  <c r="K9" i="20"/>
  <c r="S15" i="17"/>
  <c r="K15" i="17"/>
  <c r="S15" i="20"/>
  <c r="K15" i="20"/>
  <c r="AE9" i="19"/>
  <c r="V16" i="19"/>
  <c r="AE16" i="19" s="1"/>
  <c r="AH10" i="19"/>
  <c r="AI10" i="19" s="1"/>
  <c r="AF16" i="19"/>
  <c r="T13" i="20"/>
  <c r="AF14" i="19"/>
  <c r="AF13" i="19"/>
  <c r="AF12" i="19"/>
  <c r="T12" i="20"/>
  <c r="J16" i="20"/>
  <c r="S16" i="20" s="1"/>
  <c r="T16" i="20" s="1"/>
  <c r="M16" i="19"/>
  <c r="I16" i="19"/>
  <c r="N16" i="19"/>
  <c r="P16" i="19"/>
  <c r="L16" i="19"/>
  <c r="K16" i="19"/>
  <c r="J16" i="19"/>
  <c r="O16" i="19"/>
  <c r="X11" i="20"/>
  <c r="R16" i="19"/>
  <c r="S16" i="19"/>
  <c r="T16" i="19"/>
  <c r="R16" i="4"/>
  <c r="Q16" i="4"/>
  <c r="Q11" i="20"/>
  <c r="R11" i="20" s="1"/>
  <c r="T10" i="20"/>
  <c r="T15" i="20"/>
  <c r="AF15" i="19"/>
  <c r="AF11" i="19"/>
  <c r="T15" i="17"/>
  <c r="AH16" i="19" l="1"/>
  <c r="AI16" i="19" s="1"/>
  <c r="AH15" i="19"/>
  <c r="AI15" i="19" s="1"/>
  <c r="AH11" i="19"/>
  <c r="AI11" i="19" s="1"/>
  <c r="V16" i="20"/>
  <c r="W16" i="20" s="1"/>
  <c r="AH14" i="19"/>
  <c r="AI14" i="19" s="1"/>
  <c r="V15" i="20"/>
  <c r="W15" i="20" s="1"/>
  <c r="V10" i="20"/>
  <c r="W10" i="20" s="1"/>
  <c r="V13" i="20"/>
  <c r="W13" i="20" s="1"/>
  <c r="V15" i="18"/>
  <c r="W15" i="18" s="1"/>
  <c r="V11" i="20"/>
  <c r="W11" i="20" s="1"/>
  <c r="Z11" i="20" s="1"/>
  <c r="V12" i="20"/>
  <c r="W12" i="20" s="1"/>
  <c r="AH12" i="19"/>
  <c r="AI12" i="19" s="1"/>
  <c r="AH13" i="19"/>
  <c r="AI13" i="19" s="1"/>
  <c r="V15" i="17"/>
  <c r="W15" i="17" s="1"/>
  <c r="Y11" i="20" l="1"/>
  <c r="P10" i="16"/>
  <c r="P11" i="16"/>
  <c r="P12" i="16"/>
  <c r="P13" i="16"/>
  <c r="P14" i="16"/>
  <c r="P15" i="16"/>
  <c r="P16" i="16"/>
  <c r="E19" i="30" s="1"/>
  <c r="P9" i="16"/>
  <c r="J10" i="16"/>
  <c r="J11" i="16"/>
  <c r="J12" i="16"/>
  <c r="J13" i="16"/>
  <c r="J14" i="16"/>
  <c r="J15" i="16"/>
  <c r="J9" i="16"/>
  <c r="S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S10" i="16" l="1"/>
  <c r="K10" i="16"/>
  <c r="S13" i="16"/>
  <c r="T13" i="16" s="1"/>
  <c r="K13" i="16"/>
  <c r="S14" i="16"/>
  <c r="K14" i="16"/>
  <c r="S11" i="16"/>
  <c r="T11" i="16" s="1"/>
  <c r="K11" i="16"/>
  <c r="S15" i="16"/>
  <c r="T15" i="16" s="1"/>
  <c r="K15" i="16"/>
  <c r="S12" i="16"/>
  <c r="T12" i="16" s="1"/>
  <c r="K12" i="16"/>
  <c r="V12" i="16"/>
  <c r="W12" i="16" s="1"/>
  <c r="V13" i="16"/>
  <c r="W13" i="16" s="1"/>
  <c r="T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J16" i="16"/>
  <c r="S16" i="16" s="1"/>
  <c r="T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X15" i="17"/>
  <c r="Z15" i="17" s="1"/>
  <c r="Q15" i="16"/>
  <c r="R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AE9" i="11" l="1"/>
  <c r="V16" i="11"/>
  <c r="AE16" i="11" s="1"/>
  <c r="AF16" i="11" s="1"/>
  <c r="AH16" i="11" s="1"/>
  <c r="AI16" i="11" s="1"/>
  <c r="AH13" i="11"/>
  <c r="AI13" i="11" s="1"/>
  <c r="V10" i="16"/>
  <c r="W10" i="16" s="1"/>
  <c r="V11" i="16"/>
  <c r="W11" i="16" s="1"/>
  <c r="V15" i="16"/>
  <c r="W15" i="16" s="1"/>
  <c r="AH14" i="8"/>
  <c r="AI14" i="8" s="1"/>
  <c r="AH13" i="8"/>
  <c r="AI13" i="8" s="1"/>
  <c r="V14" i="16"/>
  <c r="W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X15" i="16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Q15" i="20"/>
  <c r="R15" i="20" s="1"/>
  <c r="X15" i="20"/>
  <c r="Z15" i="20" s="1"/>
  <c r="Q15" i="17"/>
  <c r="R15" i="17" s="1"/>
  <c r="Q15" i="18"/>
  <c r="R15" i="18" s="1"/>
  <c r="X15" i="18"/>
  <c r="Z15" i="18" s="1"/>
  <c r="Y15" i="17"/>
  <c r="V16" i="8"/>
  <c r="AE16" i="8" s="1"/>
  <c r="AF16" i="8" s="1"/>
  <c r="T16" i="16"/>
  <c r="AF14" i="11"/>
  <c r="AE10" i="11"/>
  <c r="AF10" i="11" s="1"/>
  <c r="AF15" i="11"/>
  <c r="AF11" i="11"/>
  <c r="AE15" i="9"/>
  <c r="AE13" i="9"/>
  <c r="AD14" i="9"/>
  <c r="AE14" i="9" s="1"/>
  <c r="AD11" i="9"/>
  <c r="AE12" i="9"/>
  <c r="Z15" i="16" l="1"/>
  <c r="AH10" i="11"/>
  <c r="AI10" i="11" s="1"/>
  <c r="V16" i="16"/>
  <c r="W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Y15" i="16"/>
  <c r="AG15" i="9"/>
  <c r="AH15" i="9" s="1"/>
  <c r="AH14" i="11"/>
  <c r="AI14" i="11" s="1"/>
  <c r="AH11" i="11"/>
  <c r="AI11" i="11" s="1"/>
  <c r="AH15" i="11"/>
  <c r="AI15" i="11" s="1"/>
  <c r="Y15" i="18"/>
  <c r="Y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R10" i="12" s="1"/>
  <c r="BV7" i="25"/>
  <c r="BH7" i="25"/>
  <c r="AT7" i="25"/>
  <c r="GR8" i="25"/>
  <c r="GD8" i="25"/>
  <c r="FP8" i="25"/>
  <c r="FB8" i="25"/>
  <c r="EN8" i="25"/>
  <c r="CJ8" i="25"/>
  <c r="AR11" i="12" s="1"/>
  <c r="BV8" i="25"/>
  <c r="AQ11" i="12" s="1"/>
  <c r="BH8" i="25"/>
  <c r="AT8" i="25"/>
  <c r="GR9" i="25"/>
  <c r="GD9" i="25"/>
  <c r="FP9" i="25"/>
  <c r="FB9" i="25"/>
  <c r="EN9" i="25"/>
  <c r="CJ9" i="25"/>
  <c r="AR12" i="12" s="1"/>
  <c r="BV9" i="25"/>
  <c r="AQ12" i="12" s="1"/>
  <c r="BH9" i="25"/>
  <c r="AT9" i="25"/>
  <c r="GR10" i="25"/>
  <c r="GD10" i="25"/>
  <c r="FP10" i="25"/>
  <c r="FB10" i="25"/>
  <c r="EN10" i="25"/>
  <c r="CJ10" i="25"/>
  <c r="BV10" i="25"/>
  <c r="AQ13" i="12" s="1"/>
  <c r="BH10" i="25"/>
  <c r="AT10" i="25"/>
  <c r="GR11" i="25"/>
  <c r="GD11" i="25"/>
  <c r="FP11" i="25"/>
  <c r="FB11" i="25"/>
  <c r="EN11" i="25"/>
  <c r="CJ11" i="25"/>
  <c r="AR14" i="12" s="1"/>
  <c r="BV11" i="25"/>
  <c r="AQ14" i="12" s="1"/>
  <c r="BS14" i="12" s="1"/>
  <c r="N14" i="12" s="1"/>
  <c r="U14" i="13" s="1"/>
  <c r="BH11" i="25"/>
  <c r="AT11" i="25"/>
  <c r="GR12" i="25"/>
  <c r="GD12" i="25"/>
  <c r="FP12" i="25"/>
  <c r="FB12" i="25"/>
  <c r="EN12" i="25"/>
  <c r="CJ12" i="25"/>
  <c r="AR15" i="12" s="1"/>
  <c r="BV12" i="25"/>
  <c r="AQ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BS15" i="12" l="1"/>
  <c r="N15" i="12" s="1"/>
  <c r="U15" i="13" s="1"/>
  <c r="BS11" i="12"/>
  <c r="N11" i="12" s="1"/>
  <c r="U11" i="13" s="1"/>
  <c r="AG15" i="12"/>
  <c r="W15" i="12"/>
  <c r="U15" i="12"/>
  <c r="AG14" i="12"/>
  <c r="W14" i="12"/>
  <c r="U14" i="12"/>
  <c r="BS12" i="12"/>
  <c r="N12" i="12" s="1"/>
  <c r="U12" i="13" s="1"/>
  <c r="AG11" i="12"/>
  <c r="U11" i="12"/>
  <c r="W11" i="12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R13" i="12"/>
  <c r="BS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Q10" i="12"/>
  <c r="BS10" i="12" s="1"/>
  <c r="N10" i="12" s="1"/>
  <c r="U10" i="13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Q10" i="20"/>
  <c r="R10" i="20" s="1"/>
  <c r="X10" i="20"/>
  <c r="Z10" i="20" s="1"/>
  <c r="Q13" i="16"/>
  <c r="R13" i="16" s="1"/>
  <c r="X13" i="16"/>
  <c r="Z13" i="16" s="1"/>
  <c r="Q11" i="16"/>
  <c r="R11" i="16" s="1"/>
  <c r="X11" i="16"/>
  <c r="Z11" i="16" s="1"/>
  <c r="Q13" i="20"/>
  <c r="R13" i="20" s="1"/>
  <c r="X13" i="20"/>
  <c r="Z13" i="20" s="1"/>
  <c r="X12" i="18"/>
  <c r="X14" i="18"/>
  <c r="X10" i="18"/>
  <c r="X12" i="17"/>
  <c r="X14" i="17"/>
  <c r="X10" i="17"/>
  <c r="Q12" i="16"/>
  <c r="R12" i="16" s="1"/>
  <c r="X12" i="16"/>
  <c r="Z12" i="16" s="1"/>
  <c r="Q14" i="16"/>
  <c r="R14" i="16" s="1"/>
  <c r="X14" i="16"/>
  <c r="Z14" i="16" s="1"/>
  <c r="Q10" i="16"/>
  <c r="R10" i="16" s="1"/>
  <c r="X10" i="16"/>
  <c r="Z10" i="16" s="1"/>
  <c r="Q12" i="20"/>
  <c r="R12" i="20" s="1"/>
  <c r="X12" i="20"/>
  <c r="Z12" i="20" s="1"/>
  <c r="Q14" i="20"/>
  <c r="R14" i="20" s="1"/>
  <c r="X14" i="20"/>
  <c r="Z14" i="20" s="1"/>
  <c r="X13" i="18"/>
  <c r="X13" i="17"/>
  <c r="X11" i="18"/>
  <c r="X11" i="17"/>
  <c r="T13" i="15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U12" i="12" l="1"/>
  <c r="AG12" i="12"/>
  <c r="W12" i="12"/>
  <c r="AG10" i="12"/>
  <c r="W10" i="12"/>
  <c r="U10" i="12"/>
  <c r="W13" i="12"/>
  <c r="U13" i="12"/>
  <c r="AG13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Y11" i="16"/>
  <c r="AK13" i="7"/>
  <c r="Y14" i="16"/>
  <c r="Y12" i="16"/>
  <c r="AG9" i="6"/>
  <c r="U16" i="6"/>
  <c r="AJ9" i="6"/>
  <c r="AK11" i="7"/>
  <c r="Y14" i="20"/>
  <c r="Y13" i="20"/>
  <c r="H16" i="20"/>
  <c r="X9" i="20"/>
  <c r="Y10" i="16"/>
  <c r="AK10" i="7"/>
  <c r="Y13" i="16"/>
  <c r="Y12" i="20"/>
  <c r="Y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AJ14" i="9" l="1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Q16" i="20"/>
  <c r="X16" i="20"/>
  <c r="Z16" i="20" s="1"/>
  <c r="H16" i="16"/>
  <c r="X9" i="16"/>
  <c r="AK10" i="11"/>
  <c r="R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X16" i="16"/>
  <c r="Z16" i="16" s="1"/>
  <c r="H16" i="17"/>
  <c r="X9" i="17"/>
  <c r="Y16" i="20"/>
  <c r="X9" i="18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X16" i="17"/>
  <c r="X16" i="18"/>
  <c r="Y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Q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R9" i="12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J14" i="18" s="1"/>
  <c r="AH11" i="27"/>
  <c r="J14" i="17" s="1"/>
  <c r="Z11" i="27"/>
  <c r="V14" i="12" s="1"/>
  <c r="AE14" i="12" s="1"/>
  <c r="AF14" i="12" s="1"/>
  <c r="L11" i="27"/>
  <c r="G11" i="27"/>
  <c r="V14" i="6" s="1"/>
  <c r="AN10" i="27"/>
  <c r="J13" i="18" s="1"/>
  <c r="AH10" i="27"/>
  <c r="J13" i="17" s="1"/>
  <c r="Z10" i="27"/>
  <c r="V13" i="12" s="1"/>
  <c r="AE13" i="12" s="1"/>
  <c r="AF13" i="12" s="1"/>
  <c r="L10" i="27"/>
  <c r="G10" i="27"/>
  <c r="V13" i="6" s="1"/>
  <c r="AN9" i="27"/>
  <c r="J12" i="18" s="1"/>
  <c r="AH9" i="27"/>
  <c r="J12" i="17" s="1"/>
  <c r="Z9" i="27"/>
  <c r="V12" i="12" s="1"/>
  <c r="AE12" i="12" s="1"/>
  <c r="AF12" i="12" s="1"/>
  <c r="L9" i="27"/>
  <c r="G9" i="27"/>
  <c r="V12" i="6" s="1"/>
  <c r="AN8" i="27"/>
  <c r="J11" i="18" s="1"/>
  <c r="AH8" i="27"/>
  <c r="J11" i="17" s="1"/>
  <c r="Z8" i="27"/>
  <c r="V11" i="12" s="1"/>
  <c r="AE11" i="12" s="1"/>
  <c r="AF11" i="12" s="1"/>
  <c r="L8" i="27"/>
  <c r="G8" i="27"/>
  <c r="V11" i="6" s="1"/>
  <c r="AN7" i="27"/>
  <c r="J10" i="18" s="1"/>
  <c r="AH7" i="27"/>
  <c r="J10" i="17" s="1"/>
  <c r="K10" i="17" s="1"/>
  <c r="Z7" i="27"/>
  <c r="V10" i="12" s="1"/>
  <c r="AE10" i="12" s="1"/>
  <c r="AF10" i="12" s="1"/>
  <c r="L7" i="27"/>
  <c r="G7" i="27"/>
  <c r="V10" i="6" s="1"/>
  <c r="AN6" i="27"/>
  <c r="J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T9" i="20"/>
  <c r="V9" i="20" s="1"/>
  <c r="L2" i="20"/>
  <c r="X2" i="19"/>
  <c r="J52" i="18"/>
  <c r="J51" i="18"/>
  <c r="J49" i="18"/>
  <c r="J45" i="18"/>
  <c r="J44" i="18"/>
  <c r="J43" i="18"/>
  <c r="J42" i="18"/>
  <c r="J39" i="18"/>
  <c r="J38" i="18"/>
  <c r="J37" i="18"/>
  <c r="H44" i="18"/>
  <c r="H39" i="18"/>
  <c r="H52" i="18"/>
  <c r="H42" i="18"/>
  <c r="H49" i="18"/>
  <c r="H48" i="18"/>
  <c r="L2" i="18"/>
  <c r="T9" i="17"/>
  <c r="L2" i="17"/>
  <c r="L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R16" i="12"/>
  <c r="BA14" i="12"/>
  <c r="AX14" i="12"/>
  <c r="AY14" i="12" s="1"/>
  <c r="AZ14" i="12" s="1"/>
  <c r="BA13" i="12"/>
  <c r="AX13" i="12"/>
  <c r="AY13" i="12" s="1"/>
  <c r="AZ13" i="12" s="1"/>
  <c r="BA12" i="12"/>
  <c r="AX12" i="12"/>
  <c r="AY12" i="12" s="1"/>
  <c r="AZ12" i="12" s="1"/>
  <c r="BA11" i="12"/>
  <c r="AX11" i="12"/>
  <c r="AY11" i="12" s="1"/>
  <c r="AZ11" i="12" s="1"/>
  <c r="BA10" i="12"/>
  <c r="AX10" i="12"/>
  <c r="AY10" i="12" s="1"/>
  <c r="AZ10" i="12" s="1"/>
  <c r="BA9" i="12"/>
  <c r="AX9" i="12"/>
  <c r="AY9" i="12" s="1"/>
  <c r="AZ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S11" i="17" l="1"/>
  <c r="K11" i="17"/>
  <c r="S12" i="18"/>
  <c r="K12" i="18"/>
  <c r="S14" i="18"/>
  <c r="K14" i="18"/>
  <c r="S12" i="17"/>
  <c r="Q12" i="17" s="1"/>
  <c r="R12" i="17" s="1"/>
  <c r="K12" i="17"/>
  <c r="N12" i="17" s="1"/>
  <c r="S14" i="17"/>
  <c r="T14" i="17" s="1"/>
  <c r="K14" i="17"/>
  <c r="N14" i="17" s="1"/>
  <c r="S13" i="17"/>
  <c r="Q13" i="17" s="1"/>
  <c r="R13" i="17" s="1"/>
  <c r="K13" i="17"/>
  <c r="N13" i="17" s="1"/>
  <c r="S13" i="18"/>
  <c r="T13" i="18" s="1"/>
  <c r="K13" i="18"/>
  <c r="N13" i="18" s="1"/>
  <c r="S9" i="18"/>
  <c r="Q9" i="18" s="1"/>
  <c r="R9" i="18" s="1"/>
  <c r="K9" i="18"/>
  <c r="N9" i="18" s="1"/>
  <c r="S10" i="18"/>
  <c r="K10" i="18"/>
  <c r="S11" i="18"/>
  <c r="K11" i="18"/>
  <c r="BR9" i="12"/>
  <c r="BS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V9" i="17"/>
  <c r="W9" i="17" s="1"/>
  <c r="W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J16" i="18"/>
  <c r="T11" i="18"/>
  <c r="Q11" i="18"/>
  <c r="R11" i="18" s="1"/>
  <c r="J40" i="18"/>
  <c r="T14" i="18"/>
  <c r="Q14" i="18"/>
  <c r="R14" i="18" s="1"/>
  <c r="J46" i="18"/>
  <c r="T12" i="18"/>
  <c r="Q12" i="18"/>
  <c r="R12" i="18" s="1"/>
  <c r="J47" i="18"/>
  <c r="T10" i="18"/>
  <c r="Q10" i="18"/>
  <c r="R10" i="18" s="1"/>
  <c r="J48" i="18"/>
  <c r="J36" i="18"/>
  <c r="J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N12" i="20"/>
  <c r="N14" i="20"/>
  <c r="N15" i="20"/>
  <c r="Z13" i="19"/>
  <c r="T12" i="17"/>
  <c r="S10" i="17"/>
  <c r="J16" i="17"/>
  <c r="T11" i="17"/>
  <c r="Q11" i="17"/>
  <c r="R11" i="17" s="1"/>
  <c r="Q14" i="17"/>
  <c r="R14" i="17" s="1"/>
  <c r="N15" i="18"/>
  <c r="N11" i="16"/>
  <c r="T9" i="16"/>
  <c r="AR16" i="15"/>
  <c r="AU16" i="15"/>
  <c r="BR15" i="12"/>
  <c r="N12" i="16"/>
  <c r="H47" i="18"/>
  <c r="N12" i="18"/>
  <c r="N13" i="20"/>
  <c r="N9" i="20"/>
  <c r="N11" i="17"/>
  <c r="O11" i="17" s="1"/>
  <c r="N14" i="16"/>
  <c r="H37" i="18"/>
  <c r="Q9" i="20"/>
  <c r="R9" i="20" s="1"/>
  <c r="K16" i="20"/>
  <c r="N16" i="20" s="1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Q9" i="17"/>
  <c r="R9" i="17" s="1"/>
  <c r="N15" i="17"/>
  <c r="N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N10" i="17"/>
  <c r="O10" i="17" s="1"/>
  <c r="N10" i="20"/>
  <c r="Y13" i="9"/>
  <c r="N10" i="18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N13" i="16"/>
  <c r="H36" i="18"/>
  <c r="N11" i="18"/>
  <c r="Y10" i="10"/>
  <c r="M7" i="21" s="1"/>
  <c r="H41" i="18"/>
  <c r="AK15" i="15"/>
  <c r="N9" i="17"/>
  <c r="O9" i="17" s="1"/>
  <c r="AK11" i="5"/>
  <c r="AK13" i="5"/>
  <c r="AF9" i="11"/>
  <c r="BR12" i="12"/>
  <c r="K12" i="12"/>
  <c r="N13" i="14"/>
  <c r="N10" i="16"/>
  <c r="N14" i="18"/>
  <c r="N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T13" i="17" l="1"/>
  <c r="K16" i="17"/>
  <c r="N16" i="17" s="1"/>
  <c r="Q13" i="18"/>
  <c r="R13" i="18" s="1"/>
  <c r="T9" i="18"/>
  <c r="K16" i="18"/>
  <c r="N16" i="18" s="1"/>
  <c r="U9" i="12"/>
  <c r="U17" i="12" s="1"/>
  <c r="AG9" i="12"/>
  <c r="W9" i="12"/>
  <c r="N17" i="12"/>
  <c r="AA16" i="7"/>
  <c r="H9" i="30"/>
  <c r="AA16" i="11"/>
  <c r="N13" i="22" s="1"/>
  <c r="H14" i="30"/>
  <c r="Z16" i="9"/>
  <c r="L13" i="22" s="1"/>
  <c r="H12" i="30"/>
  <c r="T9" i="21"/>
  <c r="O12" i="17"/>
  <c r="T9" i="22" s="1"/>
  <c r="W12" i="21"/>
  <c r="O15" i="20"/>
  <c r="W12" i="22" s="1"/>
  <c r="S8" i="21"/>
  <c r="O11" i="16"/>
  <c r="S8" i="22" s="1"/>
  <c r="W11" i="21"/>
  <c r="O14" i="20"/>
  <c r="W11" i="22" s="1"/>
  <c r="O16" i="20"/>
  <c r="W13" i="22" s="1"/>
  <c r="W9" i="21"/>
  <c r="O12" i="20"/>
  <c r="W9" i="22" s="1"/>
  <c r="U12" i="21"/>
  <c r="O15" i="18"/>
  <c r="U12" i="22" s="1"/>
  <c r="S12" i="21"/>
  <c r="O15" i="16"/>
  <c r="S12" i="22" s="1"/>
  <c r="U6" i="21"/>
  <c r="O9" i="18"/>
  <c r="U6" i="22" s="1"/>
  <c r="T12" i="21"/>
  <c r="O15" i="17"/>
  <c r="T12" i="22" s="1"/>
  <c r="S11" i="21"/>
  <c r="O14" i="16"/>
  <c r="S11" i="22" s="1"/>
  <c r="W8" i="21"/>
  <c r="O11" i="20"/>
  <c r="W8" i="22" s="1"/>
  <c r="U10" i="21"/>
  <c r="O13" i="18"/>
  <c r="U10" i="22" s="1"/>
  <c r="W6" i="21"/>
  <c r="O9" i="20"/>
  <c r="W6" i="22" s="1"/>
  <c r="W10" i="21"/>
  <c r="O13" i="20"/>
  <c r="W10" i="22" s="1"/>
  <c r="U8" i="21"/>
  <c r="O11" i="18"/>
  <c r="U8" i="22" s="1"/>
  <c r="T11" i="21"/>
  <c r="O14" i="17"/>
  <c r="T11" i="22" s="1"/>
  <c r="U7" i="21"/>
  <c r="O10" i="18"/>
  <c r="U7" i="22" s="1"/>
  <c r="O12" i="18"/>
  <c r="U9" i="22" s="1"/>
  <c r="W7" i="21"/>
  <c r="O10" i="20"/>
  <c r="W7" i="22" s="1"/>
  <c r="U11" i="21"/>
  <c r="O14" i="18"/>
  <c r="S7" i="21"/>
  <c r="O10" i="16"/>
  <c r="S7" i="22" s="1"/>
  <c r="S10" i="21"/>
  <c r="O13" i="16"/>
  <c r="S10" i="22" s="1"/>
  <c r="S9" i="21"/>
  <c r="O12" i="16"/>
  <c r="S9" i="22" s="1"/>
  <c r="T10" i="21"/>
  <c r="O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Y9" i="20"/>
  <c r="Z9" i="20"/>
  <c r="Y9" i="17"/>
  <c r="Z9" i="17"/>
  <c r="V10" i="18"/>
  <c r="W10" i="18" s="1"/>
  <c r="Z10" i="18" s="1"/>
  <c r="V11" i="17"/>
  <c r="W11" i="17" s="1"/>
  <c r="Z11" i="17" s="1"/>
  <c r="V12" i="18"/>
  <c r="W12" i="18" s="1"/>
  <c r="Z12" i="18" s="1"/>
  <c r="AH9" i="19"/>
  <c r="AI9" i="19" s="1"/>
  <c r="AL9" i="19" s="1"/>
  <c r="V13" i="17"/>
  <c r="W13" i="17" s="1"/>
  <c r="Z13" i="17" s="1"/>
  <c r="V14" i="18"/>
  <c r="W14" i="18" s="1"/>
  <c r="Z14" i="18" s="1"/>
  <c r="V12" i="17"/>
  <c r="W12" i="17" s="1"/>
  <c r="Z12" i="17" s="1"/>
  <c r="V11" i="18"/>
  <c r="W11" i="18" s="1"/>
  <c r="Z11" i="18" s="1"/>
  <c r="AH9" i="11"/>
  <c r="AI9" i="11" s="1"/>
  <c r="AL9" i="11" s="1"/>
  <c r="V13" i="18"/>
  <c r="W13" i="18" s="1"/>
  <c r="Z13" i="18" s="1"/>
  <c r="V9" i="16"/>
  <c r="W9" i="16" s="1"/>
  <c r="Z9" i="16" s="1"/>
  <c r="V14" i="17"/>
  <c r="W14" i="17" s="1"/>
  <c r="Z14" i="17" s="1"/>
  <c r="AH9" i="8"/>
  <c r="AI9" i="8" s="1"/>
  <c r="AL9" i="8" s="1"/>
  <c r="V9" i="18"/>
  <c r="W9" i="18" s="1"/>
  <c r="Z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S16" i="18"/>
  <c r="J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S16" i="17"/>
  <c r="T10" i="17"/>
  <c r="Q10" i="17"/>
  <c r="R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R13" i="12"/>
  <c r="K13" i="12"/>
  <c r="BR14" i="12"/>
  <c r="K15" i="12"/>
  <c r="Z12" i="7"/>
  <c r="K14" i="12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R17" i="12"/>
  <c r="U11" i="22"/>
  <c r="N13" i="21"/>
  <c r="L13" i="21"/>
  <c r="Z10" i="4"/>
  <c r="G8" i="22" s="1"/>
  <c r="J13" i="21"/>
  <c r="Z10" i="10"/>
  <c r="M7" i="22" s="1"/>
  <c r="AF9" i="7"/>
  <c r="K9" i="12"/>
  <c r="AQ17" i="12"/>
  <c r="AK9" i="15"/>
  <c r="BR11" i="12"/>
  <c r="BR10" i="12"/>
  <c r="K10" i="12"/>
  <c r="Z12" i="12"/>
  <c r="AA11" i="8"/>
  <c r="K8" i="22" s="1"/>
  <c r="H21" i="30" l="1"/>
  <c r="U13" i="21"/>
  <c r="O16" i="18"/>
  <c r="U13" i="22" s="1"/>
  <c r="H20" i="30"/>
  <c r="T13" i="21"/>
  <c r="O16" i="17"/>
  <c r="T13" i="22" s="1"/>
  <c r="AG17" i="12"/>
  <c r="W17" i="12"/>
  <c r="BS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Y9" i="18"/>
  <c r="Y13" i="17"/>
  <c r="Y9" i="16"/>
  <c r="AK9" i="19"/>
  <c r="AK9" i="11"/>
  <c r="Y12" i="17"/>
  <c r="Y12" i="18"/>
  <c r="Y14" i="17"/>
  <c r="Y13" i="18"/>
  <c r="Y11" i="18"/>
  <c r="Y14" i="18"/>
  <c r="Y11" i="17"/>
  <c r="Y10" i="18"/>
  <c r="V10" i="17"/>
  <c r="W10" i="17" s="1"/>
  <c r="Z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T16" i="18"/>
  <c r="Q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T16" i="17"/>
  <c r="Q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BR17" i="12"/>
  <c r="Z16" i="4"/>
  <c r="G13" i="22" s="1"/>
  <c r="AK9" i="6"/>
  <c r="K13" i="21"/>
  <c r="AA16" i="8"/>
  <c r="K13" i="22" s="1"/>
  <c r="AK9" i="8"/>
  <c r="AJ9" i="9"/>
  <c r="BD12" i="12"/>
  <c r="Z9" i="7"/>
  <c r="Z10" i="12"/>
  <c r="K17" i="12"/>
  <c r="Z9" i="12"/>
  <c r="AA9" i="12" s="1"/>
  <c r="BD11" i="12"/>
  <c r="P11" i="21" l="1"/>
  <c r="Z14" i="13"/>
  <c r="P11" i="22" s="1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R16" i="18"/>
  <c r="F21" i="30"/>
  <c r="G21" i="30" s="1"/>
  <c r="R16" i="17"/>
  <c r="F20" i="30"/>
  <c r="G20" i="30" s="1"/>
  <c r="O6" i="21"/>
  <c r="O6" i="22"/>
  <c r="AV16" i="15"/>
  <c r="AK9" i="7"/>
  <c r="AV9" i="15"/>
  <c r="Y10" i="17"/>
  <c r="V16" i="17"/>
  <c r="W16" i="17" s="1"/>
  <c r="Z16" i="17" s="1"/>
  <c r="AG12" i="13"/>
  <c r="AH12" i="13" s="1"/>
  <c r="AK12" i="13" s="1"/>
  <c r="V16" i="18"/>
  <c r="W16" i="18" s="1"/>
  <c r="Z16" i="18" s="1"/>
  <c r="AG11" i="13"/>
  <c r="AH11" i="13" s="1"/>
  <c r="AK11" i="13" s="1"/>
  <c r="H13" i="21"/>
  <c r="AJ9" i="4"/>
  <c r="P12" i="22"/>
  <c r="X9" i="22"/>
  <c r="X9" i="21" s="1"/>
  <c r="BD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AK15" i="12"/>
  <c r="O11" i="21"/>
  <c r="BD14" i="12"/>
  <c r="BE12" i="12"/>
  <c r="BD9" i="12"/>
  <c r="BE11" i="12"/>
  <c r="Y9" i="13"/>
  <c r="Z9" i="13" s="1"/>
  <c r="AK9" i="12"/>
  <c r="J6" i="22"/>
  <c r="BD10" i="12"/>
  <c r="O7" i="22"/>
  <c r="Z16" i="13" l="1"/>
  <c r="P13" i="22" s="1"/>
  <c r="H16" i="30"/>
  <c r="AA17" i="12"/>
  <c r="O13" i="22" s="1"/>
  <c r="AL16" i="6"/>
  <c r="AK16" i="6"/>
  <c r="AD17" i="12"/>
  <c r="F15" i="30"/>
  <c r="G15" i="30" s="1"/>
  <c r="AJ11" i="13"/>
  <c r="AJ12" i="13"/>
  <c r="Y16" i="18"/>
  <c r="Y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E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E14" i="12"/>
  <c r="BE9" i="12"/>
  <c r="AE9" i="13"/>
  <c r="AB9" i="13"/>
  <c r="AC9" i="13" s="1"/>
  <c r="BE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U9" i="16" l="1"/>
  <c r="Q9" i="16" s="1"/>
  <c r="R9" i="16" s="1"/>
  <c r="I16" i="16"/>
  <c r="K9" i="16"/>
  <c r="N9" i="16" s="1"/>
  <c r="S6" i="21" l="1"/>
  <c r="O9" i="16"/>
  <c r="S6" i="22" s="1"/>
  <c r="X6" i="22" s="1"/>
  <c r="X6" i="21" s="1"/>
  <c r="K16" i="16"/>
  <c r="N16" i="16" s="1"/>
  <c r="U16" i="16"/>
  <c r="Q16" i="16" s="1"/>
  <c r="H19" i="30" l="1"/>
  <c r="O16" i="16"/>
  <c r="S13" i="22" s="1"/>
  <c r="X13" i="22" s="1"/>
  <c r="X13" i="21" s="1"/>
  <c r="S13" i="21"/>
  <c r="F19" i="30"/>
  <c r="G19" i="30" s="1"/>
  <c r="R16" i="16"/>
</calcChain>
</file>

<file path=xl/sharedStrings.xml><?xml version="1.0" encoding="utf-8"?>
<sst xmlns="http://schemas.openxmlformats.org/spreadsheetml/2006/main" count="2421" uniqueCount="538">
  <si>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</si>
  <si>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</si>
  <si>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</si>
  <si>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</si>
  <si>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</si>
  <si>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</si>
  <si>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</si>
  <si>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</si>
  <si>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</si>
  <si>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</si>
  <si>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</si>
  <si>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</si>
  <si>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</si>
  <si>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</si>
  <si>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</si>
  <si>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</si>
  <si>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</si>
  <si>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</si>
  <si>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</si>
  <si>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</si>
  <si>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</si>
  <si>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</si>
  <si>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</si>
  <si>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</si>
  <si>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</si>
  <si>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</si>
  <si>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</si>
  <si>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</si>
  <si>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</si>
  <si>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</si>
  <si>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</si>
  <si>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</si>
  <si>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</si>
  <si>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</si>
  <si>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</si>
  <si>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</si>
  <si>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</si>
  <si>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</si>
  <si>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</si>
  <si>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</si>
  <si>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</si>
  <si>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</si>
  <si>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</si>
  <si>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</si>
  <si>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</si>
  <si>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</si>
  <si>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</si>
  <si>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</si>
  <si>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</si>
  <si>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</si>
  <si>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</si>
  <si>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</si>
  <si>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</si>
  <si>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</si>
  <si>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</si>
  <si>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</si>
  <si>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</si>
  <si>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</si>
  <si>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</si>
  <si>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</si>
  <si>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</si>
  <si>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</si>
  <si>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</si>
  <si>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</si>
  <si>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</si>
  <si>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</si>
  <si>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</si>
  <si>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</si>
  <si>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</si>
  <si>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</si>
  <si>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</si>
  <si>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</si>
  <si>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</si>
  <si>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</si>
  <si>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</si>
  <si>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</si>
  <si>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</si>
  <si>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</si>
  <si>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</si>
  <si>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</si>
  <si>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</si>
  <si>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</si>
  <si>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</si>
  <si>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</si>
  <si>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</si>
  <si>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</si>
  <si>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</si>
  <si>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</si>
  <si>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</si>
  <si>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</si>
  <si>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</si>
  <si>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</si>
  <si>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</si>
  <si>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</si>
  <si>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</si>
  <si>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</si>
  <si>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</si>
  <si>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</si>
  <si>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</si>
  <si>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</si>
  <si>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</si>
  <si>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</si>
  <si>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</si>
  <si>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</si>
  <si>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</si>
  <si>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</si>
  <si>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</si>
  <si>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</si>
  <si>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</si>
  <si>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</si>
  <si>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</si>
  <si>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</si>
  <si>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</si>
  <si>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</si>
  <si>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</si>
  <si>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</si>
  <si>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</si>
  <si>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</si>
  <si>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</si>
  <si>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</si>
  <si>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</si>
  <si>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</si>
  <si>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</si>
  <si>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</si>
  <si>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</si>
  <si>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</si>
  <si>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</si>
  <si>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</si>
  <si>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</si>
  <si>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</si>
  <si>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</si>
  <si>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</si>
  <si>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</si>
  <si>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</si>
  <si>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</si>
  <si>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</si>
  <si>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</si>
  <si>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</si>
  <si>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</si>
  <si>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</si>
  <si>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</si>
  <si>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</si>
  <si>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</si>
  <si>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</si>
  <si>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</si>
  <si>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</si>
  <si>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</si>
  <si>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</si>
  <si>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</si>
  <si>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</si>
  <si>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</si>
  <si>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</si>
  <si>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</si>
  <si>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</si>
  <si>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</si>
  <si>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</si>
  <si>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</si>
  <si>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</si>
  <si>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</si>
  <si>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</si>
  <si>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</si>
  <si>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</si>
  <si>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</si>
  <si>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</si>
  <si>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</si>
  <si>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</si>
  <si>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</si>
  <si>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</si>
  <si>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</si>
  <si>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</si>
  <si>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</si>
  <si>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</si>
  <si>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</si>
  <si>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</si>
  <si>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</si>
  <si>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</si>
  <si>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</si>
  <si>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</si>
  <si>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</si>
  <si>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</si>
  <si>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</si>
  <si>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</si>
  <si>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</si>
  <si>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</si>
  <si>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</si>
  <si>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</si>
  <si>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</si>
  <si>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</si>
  <si>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</si>
  <si>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</si>
  <si>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</si>
  <si>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</si>
  <si>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</si>
  <si>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</si>
  <si>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</si>
  <si>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</si>
  <si>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</si>
  <si>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</si>
  <si>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</si>
  <si>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</si>
  <si>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</si>
  <si>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</si>
  <si>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</si>
  <si>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</si>
  <si>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</si>
  <si>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</si>
  <si>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</si>
  <si>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</si>
  <si>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</si>
  <si>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</si>
  <si>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</si>
  <si>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</si>
  <si>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</si>
  <si>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</si>
  <si>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</si>
  <si>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</si>
  <si>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</si>
  <si>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</si>
  <si>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</si>
  <si>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</si>
  <si>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</si>
  <si>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</si>
  <si>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</si>
  <si>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</si>
  <si>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</si>
  <si>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</si>
  <si>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</si>
  <si>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</si>
  <si>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</si>
  <si>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</si>
  <si>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</si>
  <si>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</si>
  <si>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</si>
  <si>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</si>
  <si>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</si>
  <si>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</si>
  <si>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</si>
  <si>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</si>
  <si>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</si>
  <si>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</si>
  <si>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</si>
  <si>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</si>
  <si>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</si>
  <si>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</si>
  <si>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</si>
  <si>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</si>
  <si>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</si>
  <si>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</si>
  <si>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</si>
  <si>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</si>
  <si>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</si>
  <si>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</si>
  <si>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</si>
  <si>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</si>
  <si>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</si>
  <si>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</si>
  <si>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</si>
  <si>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</si>
  <si>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</si>
  <si>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</si>
  <si>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</si>
  <si>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</si>
  <si>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</si>
  <si>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</si>
  <si>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</si>
  <si>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</si>
  <si>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</si>
  <si>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</si>
  <si>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</si>
  <si>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</si>
  <si>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</si>
  <si>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</si>
  <si>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</si>
  <si>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</si>
  <si>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</si>
  <si>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</si>
  <si>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</si>
  <si>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</si>
  <si>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</si>
  <si>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</si>
  <si>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</si>
  <si>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</si>
  <si>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</si>
  <si>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</si>
  <si>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</si>
  <si>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</si>
  <si>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</si>
  <si>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</si>
  <si>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</si>
  <si>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</si>
  <si>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</si>
  <si>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</si>
  <si>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</si>
  <si>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</si>
  <si>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</si>
  <si>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</si>
  <si>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</si>
  <si>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</si>
  <si>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</si>
  <si>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</si>
  <si>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</si>
  <si>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</si>
  <si>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</si>
  <si>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</si>
  <si>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</si>
  <si>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</si>
  <si>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</si>
  <si>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</si>
  <si>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</si>
  <si>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</si>
  <si>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</si>
  <si>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</si>
  <si>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</si>
  <si>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</si>
  <si>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</si>
  <si>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</si>
  <si>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</si>
  <si>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</si>
  <si>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</si>
  <si>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</si>
  <si>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</si>
  <si>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</si>
  <si>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</si>
  <si>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</si>
  <si>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</si>
  <si>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</si>
  <si>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</si>
  <si>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</si>
  <si>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</si>
  <si>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</si>
  <si>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</si>
  <si>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</si>
  <si>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</si>
  <si>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</si>
  <si>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</si>
  <si>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</si>
  <si>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</si>
  <si>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</si>
  <si>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</si>
  <si>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</si>
  <si>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</si>
  <si>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</si>
  <si>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</si>
  <si>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</si>
  <si>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</si>
  <si>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</si>
  <si>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</si>
  <si>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</si>
  <si>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</si>
  <si>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</si>
  <si>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</si>
  <si>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</si>
  <si>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</si>
  <si>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</si>
  <si>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</si>
  <si>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</si>
  <si>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</si>
  <si>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</si>
  <si>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</si>
  <si>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</si>
  <si>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</si>
  <si>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</si>
  <si>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</si>
  <si>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</si>
  <si>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</si>
  <si>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</si>
  <si>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</si>
  <si>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</si>
  <si>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</si>
  <si>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</si>
  <si>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</si>
  <si>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</si>
  <si>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</si>
  <si>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</si>
  <si>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</si>
  <si>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</si>
  <si>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</si>
  <si>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</si>
  <si>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</si>
  <si>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</si>
  <si>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</si>
  <si>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</si>
  <si>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</si>
  <si>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</si>
  <si>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</si>
  <si>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</si>
  <si>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</si>
  <si>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</si>
  <si>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</si>
  <si>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</si>
  <si>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</si>
  <si>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</si>
  <si>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</si>
  <si>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</si>
  <si>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</si>
  <si>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</si>
  <si>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</si>
  <si>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</si>
  <si>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</si>
  <si>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</si>
  <si>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</si>
  <si>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</si>
  <si>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</si>
  <si>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</si>
  <si>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</si>
  <si>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</si>
  <si>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</si>
  <si>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</si>
  <si>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</si>
  <si>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</si>
  <si>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</si>
  <si>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</si>
  <si>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</si>
  <si>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</si>
  <si>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</si>
  <si>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</si>
  <si>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</si>
  <si>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</si>
  <si>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</si>
  <si>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</si>
  <si>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</si>
  <si>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</si>
  <si>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</si>
  <si>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</si>
  <si>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</si>
  <si>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</si>
  <si>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</si>
  <si>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</si>
  <si>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</si>
  <si>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</si>
  <si>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</si>
  <si>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</si>
  <si>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</si>
  <si>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</si>
  <si>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</si>
  <si>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</si>
  <si>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</si>
  <si>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</si>
  <si>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</si>
  <si>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</si>
  <si>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</si>
  <si>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</si>
  <si>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</si>
  <si>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</si>
  <si>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</si>
  <si>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</si>
  <si>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</si>
  <si>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</si>
  <si>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</si>
  <si>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</si>
  <si>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</si>
  <si>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</si>
  <si>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</si>
  <si>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</si>
  <si>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</si>
  <si>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</si>
  <si>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</si>
  <si>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</si>
  <si>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</si>
  <si>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</si>
  <si>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</si>
  <si>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</si>
  <si>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</si>
  <si>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</si>
  <si>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</si>
  <si>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</si>
  <si>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</si>
  <si>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</si>
  <si>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</si>
  <si>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</si>
  <si>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</si>
  <si>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</si>
  <si>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</si>
  <si>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</si>
  <si>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</si>
  <si>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</si>
  <si>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</si>
  <si>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</si>
  <si>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</si>
  <si>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</si>
  <si>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</si>
  <si>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</si>
  <si>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</si>
  <si>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</si>
  <si>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</si>
  <si>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</si>
  <si>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</si>
  <si>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</si>
  <si>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</si>
  <si>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</si>
  <si>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</si>
  <si>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</si>
  <si>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</si>
  <si>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</si>
  <si>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</si>
  <si>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</si>
  <si>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</si>
  <si>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</si>
  <si>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</si>
  <si>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</si>
  <si>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</si>
  <si>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</si>
  <si>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</si>
  <si>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</si>
  <si>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</si>
  <si>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</si>
  <si>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</si>
  <si>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</si>
  <si>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</si>
  <si>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</si>
  <si>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</si>
  <si>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</si>
  <si>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</si>
  <si>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</si>
  <si>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</si>
  <si>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</si>
  <si>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</si>
  <si>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</si>
  <si>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</si>
  <si>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</si>
  <si>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</si>
  <si>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</si>
  <si>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</si>
  <si>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</si>
  <si>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</si>
  <si>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</si>
  <si>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</si>
  <si>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t>ENERO - JULIO 2024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</si>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</sst>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5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11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9" fillId="0" borderId="0"/>
    <xf numFmtId="0" fontId="44" fillId="0" borderId="0"/>
    <xf numFmtId="0" fontId="3" fillId="0" borderId="0"/>
    <xf numFmtId="0" fontId="8" fillId="0" borderId="0"/>
    <xf numFmtId="0" fontId="11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42" fontId="8" fillId="0" borderId="0" applyFont="0" applyFill="0" applyBorder="0" applyAlignment="0" applyProtection="0"/>
  </cellStyleXfs>
  <cellXfs count="1021">
    <xf numFmtId="0" fontId="0" fillId="0" borderId="0" xfId="0"/>
    <xf numFmtId="0" fontId="9" fillId="0" borderId="0" xfId="2" applyFont="1" applyAlignment="1">
      <alignment horizontal="center"/>
    </xf>
    <xf numFmtId="0" fontId="11" fillId="0" borderId="0" xfId="2" applyFont="1"/>
    <xf numFmtId="10" fontId="11" fillId="0" borderId="0" xfId="2" applyNumberFormat="1" applyFont="1"/>
    <xf numFmtId="0" fontId="12" fillId="0" borderId="0" xfId="2" applyFont="1" applyAlignment="1">
      <alignment horizontal="left"/>
    </xf>
    <xf numFmtId="0" fontId="5" fillId="0" borderId="0" xfId="2"/>
    <xf numFmtId="10" fontId="5" fillId="0" borderId="0" xfId="2" applyNumberFormat="1"/>
    <xf numFmtId="0" fontId="15" fillId="4" borderId="1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9" fontId="18" fillId="5" borderId="13" xfId="2" applyNumberFormat="1" applyFont="1" applyFill="1" applyBorder="1" applyAlignment="1">
      <alignment horizontal="center" vertical="center" wrapText="1"/>
    </xf>
    <xf numFmtId="10" fontId="18" fillId="5" borderId="14" xfId="2" applyNumberFormat="1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1" fontId="5" fillId="0" borderId="0" xfId="2" applyNumberFormat="1"/>
    <xf numFmtId="0" fontId="19" fillId="3" borderId="15" xfId="2" applyFont="1" applyFill="1" applyBorder="1"/>
    <xf numFmtId="10" fontId="22" fillId="6" borderId="16" xfId="2" applyNumberFormat="1" applyFont="1" applyFill="1" applyBorder="1"/>
    <xf numFmtId="10" fontId="23" fillId="0" borderId="0" xfId="2" applyNumberFormat="1" applyFont="1"/>
    <xf numFmtId="0" fontId="19" fillId="3" borderId="17" xfId="2" applyFont="1" applyFill="1" applyBorder="1"/>
    <xf numFmtId="1" fontId="21" fillId="4" borderId="18" xfId="3" applyNumberFormat="1" applyFont="1" applyFill="1" applyBorder="1" applyProtection="1"/>
    <xf numFmtId="1" fontId="21" fillId="4" borderId="19" xfId="4" applyNumberFormat="1" applyFont="1" applyFill="1" applyBorder="1" applyProtection="1">
      <protection locked="0"/>
    </xf>
    <xf numFmtId="10" fontId="21" fillId="3" borderId="19" xfId="4" applyNumberFormat="1" applyFont="1" applyFill="1" applyBorder="1" applyProtection="1">
      <protection locked="0"/>
    </xf>
    <xf numFmtId="165" fontId="21" fillId="5" borderId="19" xfId="2" applyNumberFormat="1" applyFont="1" applyFill="1" applyBorder="1"/>
    <xf numFmtId="10" fontId="21" fillId="5" borderId="19" xfId="4" applyNumberFormat="1" applyFont="1" applyFill="1" applyBorder="1" applyProtection="1">
      <protection locked="0"/>
    </xf>
    <xf numFmtId="165" fontId="21" fillId="6" borderId="19" xfId="3" applyNumberFormat="1" applyFont="1" applyFill="1" applyBorder="1" applyAlignment="1">
      <alignment horizontal="right"/>
    </xf>
    <xf numFmtId="10" fontId="22" fillId="6" borderId="20" xfId="2" applyNumberFormat="1" applyFont="1" applyFill="1" applyBorder="1"/>
    <xf numFmtId="0" fontId="19" fillId="3" borderId="23" xfId="2" applyFont="1" applyFill="1" applyBorder="1"/>
    <xf numFmtId="0" fontId="19" fillId="3" borderId="25" xfId="2" applyFont="1" applyFill="1" applyBorder="1"/>
    <xf numFmtId="0" fontId="19" fillId="3" borderId="10" xfId="2" applyFont="1" applyFill="1" applyBorder="1"/>
    <xf numFmtId="1" fontId="21" fillId="4" borderId="10" xfId="3" applyNumberFormat="1" applyFont="1" applyFill="1" applyBorder="1" applyProtection="1"/>
    <xf numFmtId="1" fontId="21" fillId="4" borderId="9" xfId="4" applyNumberFormat="1" applyFont="1" applyFill="1" applyBorder="1" applyProtection="1">
      <protection locked="0"/>
    </xf>
    <xf numFmtId="10" fontId="21" fillId="3" borderId="9" xfId="4" applyNumberFormat="1" applyFont="1" applyFill="1" applyBorder="1" applyProtection="1">
      <protection locked="0"/>
    </xf>
    <xf numFmtId="1" fontId="21" fillId="4" borderId="15" xfId="3" applyNumberFormat="1" applyFont="1" applyFill="1" applyBorder="1" applyProtection="1"/>
    <xf numFmtId="1" fontId="21" fillId="4" borderId="26" xfId="4" applyNumberFormat="1" applyFont="1" applyFill="1" applyBorder="1" applyProtection="1">
      <protection locked="0"/>
    </xf>
    <xf numFmtId="10" fontId="21" fillId="3" borderId="27" xfId="4" applyNumberFormat="1" applyFont="1" applyFill="1" applyBorder="1" applyProtection="1">
      <protection locked="0"/>
    </xf>
    <xf numFmtId="165" fontId="21" fillId="5" borderId="1" xfId="2" applyNumberFormat="1" applyFont="1" applyFill="1" applyBorder="1"/>
    <xf numFmtId="10" fontId="21" fillId="5" borderId="16" xfId="4" applyNumberFormat="1" applyFont="1" applyFill="1" applyBorder="1" applyProtection="1">
      <protection locked="0"/>
    </xf>
    <xf numFmtId="1" fontId="21" fillId="4" borderId="17" xfId="3" applyNumberFormat="1" applyFont="1" applyFill="1" applyBorder="1" applyProtection="1"/>
    <xf numFmtId="1" fontId="21" fillId="4" borderId="29" xfId="4" applyNumberFormat="1" applyFont="1" applyFill="1" applyBorder="1" applyProtection="1">
      <protection locked="0"/>
    </xf>
    <xf numFmtId="10" fontId="21" fillId="3" borderId="30" xfId="4" applyNumberFormat="1" applyFont="1" applyFill="1" applyBorder="1" applyProtection="1">
      <protection locked="0"/>
    </xf>
    <xf numFmtId="165" fontId="21" fillId="5" borderId="4" xfId="2" applyNumberFormat="1" applyFont="1" applyFill="1" applyBorder="1"/>
    <xf numFmtId="10" fontId="21" fillId="5" borderId="20" xfId="4" applyNumberFormat="1" applyFont="1" applyFill="1" applyBorder="1" applyProtection="1">
      <protection locked="0"/>
    </xf>
    <xf numFmtId="165" fontId="21" fillId="6" borderId="31" xfId="3" applyNumberFormat="1" applyFont="1" applyFill="1" applyBorder="1" applyAlignment="1">
      <alignment horizontal="right"/>
    </xf>
    <xf numFmtId="1" fontId="21" fillId="4" borderId="21" xfId="3" applyNumberFormat="1" applyFont="1" applyFill="1" applyBorder="1" applyProtection="1"/>
    <xf numFmtId="10" fontId="21" fillId="3" borderId="33" xfId="4" applyNumberFormat="1" applyFont="1" applyFill="1" applyBorder="1" applyProtection="1">
      <protection locked="0"/>
    </xf>
    <xf numFmtId="10" fontId="21" fillId="5" borderId="22" xfId="4" applyNumberFormat="1" applyFont="1" applyFill="1" applyBorder="1" applyProtection="1">
      <protection locked="0"/>
    </xf>
    <xf numFmtId="1" fontId="21" fillId="4" borderId="23" xfId="3" applyNumberFormat="1" applyFont="1" applyFill="1" applyBorder="1" applyProtection="1"/>
    <xf numFmtId="1" fontId="21" fillId="4" borderId="35" xfId="4" applyNumberFormat="1" applyFont="1" applyFill="1" applyBorder="1" applyProtection="1">
      <protection locked="0"/>
    </xf>
    <xf numFmtId="10" fontId="21" fillId="3" borderId="36" xfId="4" applyNumberFormat="1" applyFont="1" applyFill="1" applyBorder="1" applyProtection="1">
      <protection locked="0"/>
    </xf>
    <xf numFmtId="165" fontId="21" fillId="5" borderId="6" xfId="2" applyNumberFormat="1" applyFont="1" applyFill="1" applyBorder="1"/>
    <xf numFmtId="10" fontId="21" fillId="5" borderId="24" xfId="4" applyNumberFormat="1" applyFont="1" applyFill="1" applyBorder="1" applyProtection="1">
      <protection locked="0"/>
    </xf>
    <xf numFmtId="1" fontId="21" fillId="4" borderId="25" xfId="3" applyNumberFormat="1" applyFont="1" applyFill="1" applyBorder="1" applyProtection="1"/>
    <xf numFmtId="1" fontId="21" fillId="4" borderId="38" xfId="4" applyNumberFormat="1" applyFont="1" applyFill="1" applyBorder="1" applyProtection="1">
      <protection locked="0"/>
    </xf>
    <xf numFmtId="10" fontId="21" fillId="3" borderId="39" xfId="4" applyNumberFormat="1" applyFont="1" applyFill="1" applyBorder="1" applyProtection="1">
      <protection locked="0"/>
    </xf>
    <xf numFmtId="10" fontId="21" fillId="5" borderId="40" xfId="4" applyNumberFormat="1" applyFont="1" applyFill="1" applyBorder="1" applyProtection="1">
      <protection locked="0"/>
    </xf>
    <xf numFmtId="0" fontId="24" fillId="0" borderId="0" xfId="2" applyFont="1"/>
    <xf numFmtId="0" fontId="23" fillId="0" borderId="0" xfId="2" applyFont="1"/>
    <xf numFmtId="0" fontId="5" fillId="7" borderId="0" xfId="2" applyFill="1"/>
    <xf numFmtId="0" fontId="5" fillId="7" borderId="1" xfId="2" applyFill="1" applyBorder="1"/>
    <xf numFmtId="0" fontId="15" fillId="4" borderId="10" xfId="2" applyFont="1" applyFill="1" applyBorder="1" applyAlignment="1">
      <alignment horizontal="center"/>
    </xf>
    <xf numFmtId="0" fontId="15" fillId="4" borderId="42" xfId="2" applyFont="1" applyFill="1" applyBorder="1" applyAlignment="1">
      <alignment horizontal="center"/>
    </xf>
    <xf numFmtId="0" fontId="16" fillId="7" borderId="10" xfId="2" applyFont="1" applyFill="1" applyBorder="1" applyAlignment="1">
      <alignment horizontal="center" vertical="center" wrapText="1"/>
    </xf>
    <xf numFmtId="9" fontId="15" fillId="9" borderId="9" xfId="2" applyNumberFormat="1" applyFont="1" applyFill="1" applyBorder="1" applyAlignment="1">
      <alignment horizontal="center" vertical="center" wrapText="1"/>
    </xf>
    <xf numFmtId="3" fontId="5" fillId="0" borderId="0" xfId="2" applyNumberFormat="1"/>
    <xf numFmtId="1" fontId="26" fillId="0" borderId="0" xfId="2" applyNumberFormat="1" applyFont="1"/>
    <xf numFmtId="1" fontId="27" fillId="0" borderId="0" xfId="0" applyNumberFormat="1" applyFont="1"/>
    <xf numFmtId="2" fontId="28" fillId="0" borderId="0" xfId="0" applyNumberFormat="1" applyFont="1"/>
    <xf numFmtId="3" fontId="21" fillId="4" borderId="15" xfId="3" applyNumberFormat="1" applyFont="1" applyFill="1" applyBorder="1" applyProtection="1"/>
    <xf numFmtId="3" fontId="21" fillId="4" borderId="26" xfId="4" applyNumberFormat="1" applyFont="1" applyFill="1" applyBorder="1" applyProtection="1">
      <protection locked="0"/>
    </xf>
    <xf numFmtId="2" fontId="5" fillId="9" borderId="26" xfId="2" applyNumberFormat="1" applyFill="1" applyBorder="1"/>
    <xf numFmtId="10" fontId="22" fillId="6" borderId="42" xfId="2" applyNumberFormat="1" applyFont="1" applyFill="1" applyBorder="1"/>
    <xf numFmtId="2" fontId="5" fillId="0" borderId="0" xfId="2" applyNumberFormat="1"/>
    <xf numFmtId="3" fontId="21" fillId="4" borderId="17" xfId="3" applyNumberFormat="1" applyFont="1" applyFill="1" applyBorder="1" applyProtection="1"/>
    <xf numFmtId="3" fontId="21" fillId="4" borderId="29" xfId="4" applyNumberFormat="1" applyFont="1" applyFill="1" applyBorder="1" applyProtection="1">
      <protection locked="0"/>
    </xf>
    <xf numFmtId="2" fontId="23" fillId="8" borderId="29" xfId="2" applyNumberFormat="1" applyFont="1" applyFill="1" applyBorder="1"/>
    <xf numFmtId="2" fontId="5" fillId="9" borderId="29" xfId="2" applyNumberFormat="1" applyFill="1" applyBorder="1"/>
    <xf numFmtId="10" fontId="22" fillId="6" borderId="43" xfId="2" applyNumberFormat="1" applyFont="1" applyFill="1" applyBorder="1"/>
    <xf numFmtId="0" fontId="19" fillId="7" borderId="17" xfId="2" applyFont="1" applyFill="1" applyBorder="1"/>
    <xf numFmtId="3" fontId="21" fillId="4" borderId="21" xfId="3" applyNumberFormat="1" applyFont="1" applyFill="1" applyBorder="1" applyProtection="1"/>
    <xf numFmtId="3" fontId="21" fillId="4" borderId="32" xfId="4" applyNumberFormat="1" applyFont="1" applyFill="1" applyBorder="1" applyProtection="1">
      <protection locked="0"/>
    </xf>
    <xf numFmtId="3" fontId="21" fillId="4" borderId="23" xfId="3" applyNumberFormat="1" applyFont="1" applyFill="1" applyBorder="1" applyProtection="1"/>
    <xf numFmtId="3" fontId="21" fillId="4" borderId="35" xfId="4" applyNumberFormat="1" applyFont="1" applyFill="1" applyBorder="1" applyProtection="1">
      <protection locked="0"/>
    </xf>
    <xf numFmtId="2" fontId="5" fillId="9" borderId="35" xfId="2" applyNumberFormat="1" applyFill="1" applyBorder="1"/>
    <xf numFmtId="10" fontId="22" fillId="6" borderId="44" xfId="2" applyNumberFormat="1" applyFont="1" applyFill="1" applyBorder="1"/>
    <xf numFmtId="3" fontId="21" fillId="4" borderId="10" xfId="3" applyNumberFormat="1" applyFont="1" applyFill="1" applyBorder="1" applyProtection="1"/>
    <xf numFmtId="3" fontId="21" fillId="4" borderId="9" xfId="3" applyNumberFormat="1" applyFont="1" applyFill="1" applyBorder="1" applyProtection="1"/>
    <xf numFmtId="2" fontId="23" fillId="8" borderId="9" xfId="2" applyNumberFormat="1" applyFont="1" applyFill="1" applyBorder="1"/>
    <xf numFmtId="0" fontId="29" fillId="10" borderId="45" xfId="0" applyFont="1" applyFill="1" applyBorder="1" applyAlignment="1">
      <alignment vertical="center" wrapText="1"/>
    </xf>
    <xf numFmtId="0" fontId="30" fillId="11" borderId="0" xfId="2" applyFont="1" applyFill="1" applyAlignment="1">
      <alignment horizontal="center" vertical="center"/>
    </xf>
    <xf numFmtId="0" fontId="16" fillId="12" borderId="45" xfId="0" applyFont="1" applyFill="1" applyBorder="1" applyAlignment="1">
      <alignment horizontal="center" vertical="center" wrapText="1"/>
    </xf>
    <xf numFmtId="166" fontId="31" fillId="11" borderId="46" xfId="2" applyNumberFormat="1" applyFont="1" applyFill="1" applyBorder="1" applyAlignment="1">
      <alignment horizontal="center" vertical="center" wrapText="1"/>
    </xf>
    <xf numFmtId="166" fontId="31" fillId="13" borderId="46" xfId="2" applyNumberFormat="1" applyFont="1" applyFill="1" applyBorder="1" applyAlignment="1">
      <alignment horizontal="center" vertical="center" wrapText="1"/>
    </xf>
    <xf numFmtId="0" fontId="32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3" fillId="11" borderId="45" xfId="2" applyNumberFormat="1" applyFont="1" applyFill="1" applyBorder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3" fontId="6" fillId="13" borderId="0" xfId="2" applyNumberFormat="1" applyFont="1" applyFill="1" applyAlignment="1">
      <alignment horizontal="center"/>
    </xf>
    <xf numFmtId="1" fontId="6" fillId="13" borderId="0" xfId="2" applyNumberFormat="1" applyFont="1" applyFill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1" fontId="34" fillId="11" borderId="45" xfId="2" applyNumberFormat="1" applyFont="1" applyFill="1" applyBorder="1" applyAlignment="1">
      <alignment horizontal="center" vertical="center" wrapText="1"/>
    </xf>
    <xf numFmtId="167" fontId="11" fillId="0" borderId="0" xfId="2" applyNumberFormat="1" applyFont="1"/>
    <xf numFmtId="1" fontId="24" fillId="0" borderId="0" xfId="2" applyNumberFormat="1" applyFont="1"/>
    <xf numFmtId="167" fontId="5" fillId="0" borderId="0" xfId="2" applyNumberFormat="1"/>
    <xf numFmtId="1" fontId="23" fillId="0" borderId="0" xfId="2" applyNumberFormat="1" applyFont="1"/>
    <xf numFmtId="10" fontId="0" fillId="0" borderId="0" xfId="0" applyNumberFormat="1"/>
    <xf numFmtId="167" fontId="35" fillId="0" borderId="0" xfId="2" applyNumberFormat="1" applyFont="1"/>
    <xf numFmtId="10" fontId="22" fillId="6" borderId="28" xfId="3" applyNumberFormat="1" applyFont="1" applyFill="1" applyBorder="1" applyAlignment="1">
      <alignment horizontal="right"/>
    </xf>
    <xf numFmtId="10" fontId="21" fillId="5" borderId="4" xfId="2" applyNumberFormat="1" applyFont="1" applyFill="1" applyBorder="1"/>
    <xf numFmtId="10" fontId="22" fillId="6" borderId="31" xfId="3" applyNumberFormat="1" applyFont="1" applyFill="1" applyBorder="1" applyAlignment="1">
      <alignment horizontal="right"/>
    </xf>
    <xf numFmtId="165" fontId="22" fillId="6" borderId="28" xfId="3" applyNumberFormat="1" applyFont="1" applyFill="1" applyBorder="1" applyAlignment="1">
      <alignment horizontal="right"/>
    </xf>
    <xf numFmtId="0" fontId="28" fillId="0" borderId="0" xfId="0" applyFont="1"/>
    <xf numFmtId="10" fontId="28" fillId="0" borderId="0" xfId="0" applyNumberFormat="1" applyFont="1"/>
    <xf numFmtId="165" fontId="22" fillId="6" borderId="31" xfId="3" applyNumberFormat="1" applyFont="1" applyFill="1" applyBorder="1" applyAlignment="1">
      <alignment horizontal="right"/>
    </xf>
    <xf numFmtId="3" fontId="21" fillId="4" borderId="25" xfId="3" applyNumberFormat="1" applyFont="1" applyFill="1" applyBorder="1" applyProtection="1"/>
    <xf numFmtId="3" fontId="21" fillId="4" borderId="38" xfId="4" applyNumberFormat="1" applyFont="1" applyFill="1" applyBorder="1" applyProtection="1">
      <protection locked="0"/>
    </xf>
    <xf numFmtId="165" fontId="22" fillId="6" borderId="41" xfId="3" applyNumberFormat="1" applyFont="1" applyFill="1" applyBorder="1" applyAlignment="1">
      <alignment horizontal="right"/>
    </xf>
    <xf numFmtId="165" fontId="22" fillId="6" borderId="37" xfId="3" applyNumberFormat="1" applyFont="1" applyFill="1" applyBorder="1" applyAlignment="1">
      <alignment horizontal="right"/>
    </xf>
    <xf numFmtId="2" fontId="11" fillId="0" borderId="0" xfId="2" applyNumberFormat="1" applyFont="1"/>
    <xf numFmtId="0" fontId="15" fillId="6" borderId="9" xfId="2" applyFont="1" applyFill="1" applyBorder="1" applyAlignment="1">
      <alignment horizontal="center" vertical="center" wrapText="1"/>
    </xf>
    <xf numFmtId="2" fontId="21" fillId="5" borderId="1" xfId="2" applyNumberFormat="1" applyFont="1" applyFill="1" applyBorder="1"/>
    <xf numFmtId="165" fontId="22" fillId="6" borderId="26" xfId="3" applyNumberFormat="1" applyFont="1" applyFill="1" applyBorder="1" applyAlignment="1">
      <alignment horizontal="right"/>
    </xf>
    <xf numFmtId="0" fontId="7" fillId="0" borderId="0" xfId="2" applyFont="1"/>
    <xf numFmtId="3" fontId="7" fillId="0" borderId="0" xfId="2" applyNumberFormat="1" applyFont="1"/>
    <xf numFmtId="2" fontId="21" fillId="5" borderId="4" xfId="2" applyNumberFormat="1" applyFont="1" applyFill="1" applyBorder="1"/>
    <xf numFmtId="165" fontId="22" fillId="6" borderId="29" xfId="3" applyNumberFormat="1" applyFont="1" applyFill="1" applyBorder="1" applyAlignment="1">
      <alignment horizontal="right"/>
    </xf>
    <xf numFmtId="2" fontId="21" fillId="3" borderId="36" xfId="4" applyNumberFormat="1" applyFont="1" applyFill="1" applyBorder="1" applyProtection="1">
      <protection locked="0"/>
    </xf>
    <xf numFmtId="2" fontId="21" fillId="5" borderId="6" xfId="2" applyNumberFormat="1" applyFont="1" applyFill="1" applyBorder="1"/>
    <xf numFmtId="165" fontId="22" fillId="6" borderId="35" xfId="3" applyNumberFormat="1" applyFont="1" applyFill="1" applyBorder="1" applyAlignment="1">
      <alignment horizontal="right"/>
    </xf>
    <xf numFmtId="3" fontId="21" fillId="4" borderId="1" xfId="3" applyNumberFormat="1" applyFont="1" applyFill="1" applyBorder="1" applyProtection="1"/>
    <xf numFmtId="3" fontId="21" fillId="4" borderId="42" xfId="4" applyNumberFormat="1" applyFont="1" applyFill="1" applyBorder="1" applyProtection="1">
      <protection locked="0"/>
    </xf>
    <xf numFmtId="2" fontId="21" fillId="3" borderId="2" xfId="4" applyNumberFormat="1" applyFont="1" applyFill="1" applyBorder="1" applyProtection="1">
      <protection locked="0"/>
    </xf>
    <xf numFmtId="165" fontId="22" fillId="6" borderId="42" xfId="3" applyNumberFormat="1" applyFont="1" applyFill="1" applyBorder="1" applyAlignment="1">
      <alignment horizontal="right"/>
    </xf>
    <xf numFmtId="2" fontId="21" fillId="3" borderId="39" xfId="4" applyNumberFormat="1" applyFont="1" applyFill="1" applyBorder="1" applyProtection="1">
      <protection locked="0"/>
    </xf>
    <xf numFmtId="165" fontId="22" fillId="6" borderId="38" xfId="3" applyNumberFormat="1" applyFont="1" applyFill="1" applyBorder="1" applyAlignment="1">
      <alignment horizontal="right"/>
    </xf>
    <xf numFmtId="2" fontId="21" fillId="3" borderId="9" xfId="4" applyNumberFormat="1" applyFont="1" applyFill="1" applyBorder="1" applyProtection="1">
      <protection locked="0"/>
    </xf>
    <xf numFmtId="10" fontId="24" fillId="0" borderId="0" xfId="2" applyNumberFormat="1" applyFont="1"/>
    <xf numFmtId="0" fontId="20" fillId="0" borderId="0" xfId="2" applyFont="1"/>
    <xf numFmtId="0" fontId="20" fillId="0" borderId="0" xfId="2" applyFont="1" applyAlignment="1">
      <alignment horizontal="center"/>
    </xf>
    <xf numFmtId="0" fontId="17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5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1" fillId="0" borderId="54" xfId="4" applyNumberFormat="1" applyFont="1" applyFill="1" applyBorder="1" applyProtection="1">
      <protection locked="0"/>
    </xf>
    <xf numFmtId="165" fontId="22" fillId="6" borderId="34" xfId="3" applyNumberFormat="1" applyFont="1" applyFill="1" applyBorder="1" applyAlignment="1">
      <alignment horizontal="right"/>
    </xf>
    <xf numFmtId="10" fontId="33" fillId="11" borderId="45" xfId="1" applyNumberFormat="1" applyFont="1" applyFill="1" applyBorder="1" applyAlignment="1">
      <alignment horizontal="center"/>
    </xf>
    <xf numFmtId="10" fontId="33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5" fillId="0" borderId="0" xfId="2" applyNumberFormat="1"/>
    <xf numFmtId="0" fontId="12" fillId="0" borderId="0" xfId="6" applyFont="1" applyAlignment="1">
      <alignment horizontal="center"/>
    </xf>
    <xf numFmtId="1" fontId="11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1" fillId="0" borderId="0" xfId="6" applyNumberFormat="1" applyFont="1"/>
    <xf numFmtId="0" fontId="11" fillId="0" borderId="0" xfId="6" applyFont="1"/>
    <xf numFmtId="0" fontId="20" fillId="0" borderId="0" xfId="6"/>
    <xf numFmtId="10" fontId="20" fillId="0" borderId="0" xfId="6" applyNumberFormat="1"/>
    <xf numFmtId="0" fontId="48" fillId="0" borderId="0" xfId="6" applyFont="1"/>
    <xf numFmtId="1" fontId="20" fillId="0" borderId="0" xfId="6" applyNumberFormat="1"/>
    <xf numFmtId="165" fontId="0" fillId="0" borderId="0" xfId="0" applyNumberFormat="1"/>
    <xf numFmtId="0" fontId="20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0" fillId="0" borderId="0" xfId="7" applyNumberFormat="1"/>
    <xf numFmtId="165" fontId="20" fillId="0" borderId="0" xfId="6" applyNumberFormat="1"/>
    <xf numFmtId="0" fontId="17" fillId="4" borderId="9" xfId="7" applyFont="1" applyFill="1" applyBorder="1" applyAlignment="1">
      <alignment horizontal="center" vertical="center" wrapText="1"/>
    </xf>
    <xf numFmtId="9" fontId="18" fillId="5" borderId="13" xfId="6" applyNumberFormat="1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7" fillId="3" borderId="45" xfId="7" applyNumberFormat="1" applyFont="1" applyFill="1" applyBorder="1" applyAlignment="1">
      <alignment horizontal="center" vertical="center" wrapText="1"/>
    </xf>
    <xf numFmtId="10" fontId="17" fillId="3" borderId="45" xfId="7" applyNumberFormat="1" applyFont="1" applyFill="1" applyBorder="1" applyAlignment="1">
      <alignment horizontal="center" vertical="center" wrapText="1"/>
    </xf>
    <xf numFmtId="0" fontId="20" fillId="18" borderId="45" xfId="6" applyFill="1" applyBorder="1" applyAlignment="1">
      <alignment horizontal="center" vertical="center" wrapText="1"/>
    </xf>
    <xf numFmtId="0" fontId="20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1" fontId="23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1" fillId="3" borderId="4" xfId="6" applyNumberFormat="1" applyFont="1" applyFill="1" applyBorder="1"/>
    <xf numFmtId="10" fontId="21" fillId="5" borderId="4" xfId="6" applyNumberFormat="1" applyFont="1" applyFill="1" applyBorder="1"/>
    <xf numFmtId="10" fontId="21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3" fillId="0" borderId="0" xfId="6" applyFont="1"/>
    <xf numFmtId="1" fontId="23" fillId="0" borderId="0" xfId="6" applyNumberFormat="1" applyFont="1"/>
    <xf numFmtId="165" fontId="28" fillId="0" borderId="0" xfId="0" applyNumberFormat="1" applyFont="1"/>
    <xf numFmtId="1" fontId="51" fillId="7" borderId="46" xfId="6" applyNumberFormat="1" applyFont="1" applyFill="1" applyBorder="1"/>
    <xf numFmtId="1" fontId="23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4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1" fillId="5" borderId="16" xfId="4" applyNumberFormat="1" applyFont="1" applyFill="1" applyBorder="1" applyProtection="1">
      <protection locked="0"/>
    </xf>
    <xf numFmtId="2" fontId="21" fillId="5" borderId="20" xfId="4" applyNumberFormat="1" applyFont="1" applyFill="1" applyBorder="1" applyProtection="1">
      <protection locked="0"/>
    </xf>
    <xf numFmtId="2" fontId="23" fillId="0" borderId="0" xfId="6" applyNumberFormat="1" applyFont="1"/>
    <xf numFmtId="2" fontId="51" fillId="0" borderId="0" xfId="6" applyNumberFormat="1" applyFont="1"/>
    <xf numFmtId="168" fontId="23" fillId="0" borderId="0" xfId="6" applyNumberFormat="1" applyFont="1"/>
    <xf numFmtId="168" fontId="21" fillId="3" borderId="9" xfId="4" applyNumberFormat="1" applyFont="1" applyFill="1" applyBorder="1" applyProtection="1">
      <protection locked="0"/>
    </xf>
    <xf numFmtId="2" fontId="20" fillId="0" borderId="0" xfId="6" applyNumberFormat="1"/>
    <xf numFmtId="0" fontId="0" fillId="21" borderId="0" xfId="0" applyFill="1"/>
    <xf numFmtId="1" fontId="21" fillId="4" borderId="9" xfId="3" applyNumberFormat="1" applyFont="1" applyFill="1" applyBorder="1" applyProtection="1"/>
    <xf numFmtId="0" fontId="15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1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165" fontId="22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0" fillId="0" borderId="0" xfId="8"/>
    <xf numFmtId="10" fontId="20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0" fillId="0" borderId="33" xfId="8" applyNumberFormat="1" applyBorder="1"/>
    <xf numFmtId="10" fontId="48" fillId="0" borderId="33" xfId="8" applyNumberFormat="1" applyFont="1" applyBorder="1"/>
    <xf numFmtId="10" fontId="20" fillId="0" borderId="34" xfId="8" applyNumberFormat="1" applyBorder="1"/>
    <xf numFmtId="10" fontId="64" fillId="23" borderId="32" xfId="8" applyNumberFormat="1" applyFont="1" applyFill="1" applyBorder="1"/>
    <xf numFmtId="10" fontId="20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5" fillId="24" borderId="45" xfId="5" applyFont="1" applyFill="1" applyBorder="1" applyAlignment="1">
      <alignment horizontal="center" vertical="center" wrapText="1"/>
    </xf>
    <xf numFmtId="0" fontId="14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4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5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8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8" fillId="0" borderId="80" xfId="10" applyNumberFormat="1" applyFont="1" applyBorder="1"/>
    <xf numFmtId="0" fontId="28" fillId="0" borderId="52" xfId="10" applyFont="1" applyBorder="1"/>
    <xf numFmtId="3" fontId="82" fillId="0" borderId="80" xfId="10" applyNumberFormat="1" applyFont="1" applyBorder="1"/>
    <xf numFmtId="3" fontId="28" fillId="0" borderId="51" xfId="10" applyNumberFormat="1" applyFont="1" applyBorder="1"/>
    <xf numFmtId="0" fontId="6" fillId="29" borderId="96" xfId="10" applyFont="1" applyFill="1" applyBorder="1" applyAlignment="1">
      <alignment horizontal="left" vertical="center" wrapText="1"/>
    </xf>
    <xf numFmtId="3" fontId="28" fillId="0" borderId="19" xfId="10" applyNumberFormat="1" applyFont="1" applyBorder="1"/>
    <xf numFmtId="3" fontId="28" fillId="0" borderId="57" xfId="10" applyNumberFormat="1" applyFont="1" applyBorder="1"/>
    <xf numFmtId="0" fontId="6" fillId="29" borderId="97" xfId="10" applyFont="1" applyFill="1" applyBorder="1" applyAlignment="1">
      <alignment horizontal="left" vertical="center" wrapText="1"/>
    </xf>
    <xf numFmtId="0" fontId="28" fillId="0" borderId="11" xfId="10" applyFont="1" applyBorder="1"/>
    <xf numFmtId="3" fontId="28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8" fillId="20" borderId="0" xfId="0" applyFont="1" applyFill="1"/>
    <xf numFmtId="166" fontId="28" fillId="0" borderId="0" xfId="0" applyNumberFormat="1" applyFont="1"/>
    <xf numFmtId="0" fontId="84" fillId="0" borderId="0" xfId="0" applyFont="1"/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8" fillId="31" borderId="9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32" borderId="8" xfId="0" applyFont="1" applyFill="1" applyBorder="1" applyAlignment="1">
      <alignment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1" fontId="28" fillId="0" borderId="8" xfId="0" applyNumberFormat="1" applyFont="1" applyBorder="1" applyAlignment="1">
      <alignment horizontal="center" vertical="center" wrapText="1"/>
    </xf>
    <xf numFmtId="0" fontId="28" fillId="0" borderId="101" xfId="0" applyFont="1" applyBorder="1" applyAlignment="1">
      <alignment vertical="center" wrapText="1"/>
    </xf>
    <xf numFmtId="0" fontId="28" fillId="0" borderId="102" xfId="0" applyFont="1" applyBorder="1" applyAlignment="1">
      <alignment vertical="center" wrapText="1"/>
    </xf>
    <xf numFmtId="9" fontId="28" fillId="0" borderId="102" xfId="0" applyNumberFormat="1" applyFont="1" applyBorder="1" applyAlignment="1">
      <alignment horizontal="center" vertical="center" wrapText="1"/>
    </xf>
    <xf numFmtId="0" fontId="28" fillId="0" borderId="102" xfId="0" applyFont="1" applyBorder="1" applyAlignment="1">
      <alignment horizontal="center" vertical="center" wrapText="1"/>
    </xf>
    <xf numFmtId="0" fontId="28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8" fillId="22" borderId="0" xfId="0" applyFont="1" applyFill="1"/>
    <xf numFmtId="0" fontId="28" fillId="7" borderId="0" xfId="0" applyFont="1" applyFill="1" applyAlignment="1">
      <alignment horizontal="center" vertical="center" wrapText="1"/>
    </xf>
    <xf numFmtId="0" fontId="28" fillId="7" borderId="0" xfId="0" applyFont="1" applyFill="1"/>
    <xf numFmtId="0" fontId="28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8" fillId="0" borderId="45" xfId="0" applyFont="1" applyBorder="1"/>
    <xf numFmtId="0" fontId="86" fillId="0" borderId="45" xfId="0" applyFont="1" applyBorder="1"/>
    <xf numFmtId="0" fontId="28" fillId="33" borderId="45" xfId="0" applyFont="1" applyFill="1" applyBorder="1"/>
    <xf numFmtId="2" fontId="28" fillId="7" borderId="0" xfId="0" applyNumberFormat="1" applyFont="1" applyFill="1"/>
    <xf numFmtId="166" fontId="28" fillId="7" borderId="0" xfId="0" applyNumberFormat="1" applyFont="1" applyFill="1"/>
    <xf numFmtId="2" fontId="82" fillId="7" borderId="0" xfId="0" applyNumberFormat="1" applyFont="1" applyFill="1"/>
    <xf numFmtId="2" fontId="28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3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3" fillId="19" borderId="45" xfId="11" applyFont="1" applyFill="1" applyBorder="1" applyAlignment="1">
      <alignment horizontal="center" vertical="center" wrapText="1"/>
    </xf>
    <xf numFmtId="0" fontId="7" fillId="19" borderId="45" xfId="11" applyFont="1" applyFill="1" applyBorder="1" applyAlignment="1">
      <alignment horizontal="center" vertical="center" wrapText="1"/>
    </xf>
    <xf numFmtId="0" fontId="7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6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7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6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29" fillId="10" borderId="45" xfId="0" applyFont="1" applyFill="1" applyBorder="1" applyAlignment="1">
      <alignment vertical="center"/>
    </xf>
    <xf numFmtId="165" fontId="33" fillId="11" borderId="45" xfId="1" applyNumberFormat="1" applyFont="1" applyFill="1" applyBorder="1" applyAlignment="1">
      <alignment horizontal="center" vertical="center"/>
    </xf>
    <xf numFmtId="165" fontId="34" fillId="11" borderId="45" xfId="1" applyNumberFormat="1" applyFont="1" applyFill="1" applyBorder="1" applyAlignment="1">
      <alignment horizontal="center" vertical="center"/>
    </xf>
    <xf numFmtId="1" fontId="34" fillId="11" borderId="45" xfId="2" applyNumberFormat="1" applyFont="1" applyFill="1" applyBorder="1" applyAlignment="1">
      <alignment horizontal="center" vertical="center"/>
    </xf>
    <xf numFmtId="3" fontId="21" fillId="4" borderId="17" xfId="3" applyNumberFormat="1" applyFont="1" applyFill="1" applyBorder="1" applyAlignment="1" applyProtection="1">
      <alignment horizontal="center"/>
    </xf>
    <xf numFmtId="0" fontId="19" fillId="3" borderId="26" xfId="2" applyFont="1" applyFill="1" applyBorder="1"/>
    <xf numFmtId="0" fontId="19" fillId="3" borderId="29" xfId="2" applyFont="1" applyFill="1" applyBorder="1"/>
    <xf numFmtId="0" fontId="19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8" fillId="0" borderId="0" xfId="0" applyNumberFormat="1" applyFont="1"/>
    <xf numFmtId="1" fontId="65" fillId="0" borderId="0" xfId="5" applyNumberFormat="1" applyFont="1"/>
    <xf numFmtId="0" fontId="16" fillId="7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42" xfId="2" applyFont="1" applyFill="1" applyBorder="1" applyAlignment="1">
      <alignment horizontal="center" vertical="center" wrapText="1"/>
    </xf>
    <xf numFmtId="10" fontId="5" fillId="3" borderId="0" xfId="2" applyNumberFormat="1" applyFill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42" xfId="7" applyFont="1" applyFill="1" applyBorder="1" applyAlignment="1">
      <alignment horizontal="center" vertical="center" wrapText="1"/>
    </xf>
    <xf numFmtId="10" fontId="20" fillId="3" borderId="0" xfId="6" applyNumberFormat="1" applyFill="1" applyAlignment="1">
      <alignment horizontal="center" vertical="center" wrapText="1"/>
    </xf>
    <xf numFmtId="9" fontId="18" fillId="5" borderId="1" xfId="6" applyNumberFormat="1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7" fillId="3" borderId="0" xfId="7" applyNumberFormat="1" applyFont="1" applyFill="1" applyAlignment="1">
      <alignment horizontal="center" vertical="center" wrapText="1"/>
    </xf>
    <xf numFmtId="0" fontId="20" fillId="18" borderId="0" xfId="6" applyFill="1" applyAlignment="1">
      <alignment horizontal="center" vertical="center" wrapText="1"/>
    </xf>
    <xf numFmtId="0" fontId="20" fillId="0" borderId="0" xfId="6" applyAlignment="1">
      <alignment horizontal="center" vertical="center" wrapText="1"/>
    </xf>
    <xf numFmtId="3" fontId="21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1" fillId="34" borderId="17" xfId="3" applyNumberFormat="1" applyFont="1" applyFill="1" applyBorder="1" applyProtection="1"/>
    <xf numFmtId="0" fontId="15" fillId="6" borderId="12" xfId="2" applyFont="1" applyFill="1" applyBorder="1" applyAlignment="1">
      <alignment horizontal="center" vertical="center" wrapText="1"/>
    </xf>
    <xf numFmtId="0" fontId="108" fillId="0" borderId="42" xfId="11" applyFont="1" applyBorder="1" applyAlignment="1">
      <alignment horizontal="center" vertical="center" wrapText="1"/>
    </xf>
    <xf numFmtId="3" fontId="21" fillId="0" borderId="26" xfId="4" applyNumberFormat="1" applyFont="1" applyFill="1" applyBorder="1" applyProtection="1">
      <protection locked="0"/>
    </xf>
    <xf numFmtId="3" fontId="21" fillId="0" borderId="29" xfId="4" applyNumberFormat="1" applyFont="1" applyFill="1" applyBorder="1" applyProtection="1">
      <protection locked="0"/>
    </xf>
    <xf numFmtId="10" fontId="21" fillId="3" borderId="11" xfId="4" applyNumberFormat="1" applyFont="1" applyFill="1" applyBorder="1" applyProtection="1">
      <protection locked="0"/>
    </xf>
    <xf numFmtId="3" fontId="21" fillId="0" borderId="21" xfId="3" applyNumberFormat="1" applyFont="1" applyFill="1" applyBorder="1" applyProtection="1"/>
    <xf numFmtId="3" fontId="21" fillId="0" borderId="17" xfId="3" applyNumberFormat="1" applyFont="1" applyFill="1" applyBorder="1" applyProtection="1"/>
    <xf numFmtId="0" fontId="5" fillId="0" borderId="10" xfId="2" applyBorder="1"/>
    <xf numFmtId="10" fontId="5" fillId="3" borderId="11" xfId="2" applyNumberFormat="1" applyFill="1" applyBorder="1" applyAlignment="1">
      <alignment horizontal="center" vertical="center" wrapText="1"/>
    </xf>
    <xf numFmtId="9" fontId="18" fillId="5" borderId="10" xfId="2" applyNumberFormat="1" applyFont="1" applyFill="1" applyBorder="1" applyAlignment="1">
      <alignment horizontal="center" vertical="center" wrapText="1"/>
    </xf>
    <xf numFmtId="3" fontId="21" fillId="0" borderId="15" xfId="3" applyNumberFormat="1" applyFont="1" applyFill="1" applyBorder="1" applyProtection="1"/>
    <xf numFmtId="0" fontId="16" fillId="12" borderId="45" xfId="0" applyFont="1" applyFill="1" applyBorder="1" applyAlignment="1">
      <alignment horizontal="center" vertical="top" wrapText="1"/>
    </xf>
    <xf numFmtId="3" fontId="6" fillId="13" borderId="56" xfId="2" applyNumberFormat="1" applyFont="1" applyFill="1" applyBorder="1" applyAlignment="1">
      <alignment horizontal="center"/>
    </xf>
    <xf numFmtId="1" fontId="6" fillId="13" borderId="56" xfId="2" applyNumberFormat="1" applyFont="1" applyFill="1" applyBorder="1" applyAlignment="1">
      <alignment horizontal="center"/>
    </xf>
    <xf numFmtId="0" fontId="15" fillId="6" borderId="0" xfId="2" applyFont="1" applyFill="1" applyAlignment="1">
      <alignment horizontal="center" vertical="center" wrapText="1"/>
    </xf>
    <xf numFmtId="10" fontId="33" fillId="11" borderId="46" xfId="1" applyNumberFormat="1" applyFont="1" applyFill="1" applyBorder="1" applyAlignment="1">
      <alignment horizontal="center"/>
    </xf>
    <xf numFmtId="10" fontId="33" fillId="11" borderId="46" xfId="1" applyNumberFormat="1" applyFont="1" applyFill="1" applyBorder="1" applyAlignment="1">
      <alignment horizontal="center" vertical="center" wrapText="1"/>
    </xf>
    <xf numFmtId="165" fontId="34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8" fillId="5" borderId="9" xfId="2" applyNumberFormat="1" applyFont="1" applyFill="1" applyBorder="1" applyAlignment="1">
      <alignment horizontal="center" vertical="center" wrapText="1"/>
    </xf>
    <xf numFmtId="166" fontId="31" fillId="11" borderId="58" xfId="2" applyNumberFormat="1" applyFont="1" applyFill="1" applyBorder="1" applyAlignment="1">
      <alignment horizontal="center" vertical="center" wrapText="1"/>
    </xf>
    <xf numFmtId="10" fontId="33" fillId="11" borderId="60" xfId="1" applyNumberFormat="1" applyFont="1" applyFill="1" applyBorder="1" applyAlignment="1">
      <alignment horizontal="center" vertical="center" wrapText="1"/>
    </xf>
    <xf numFmtId="0" fontId="32" fillId="11" borderId="67" xfId="2" applyFont="1" applyFill="1" applyBorder="1" applyAlignment="1">
      <alignment horizontal="center" vertical="center" wrapText="1"/>
    </xf>
    <xf numFmtId="165" fontId="34" fillId="11" borderId="76" xfId="1" applyNumberFormat="1" applyFont="1" applyFill="1" applyBorder="1" applyAlignment="1">
      <alignment horizontal="center" vertical="center" wrapText="1"/>
    </xf>
    <xf numFmtId="166" fontId="31" fillId="13" borderId="45" xfId="2" applyNumberFormat="1" applyFont="1" applyFill="1" applyBorder="1" applyAlignment="1">
      <alignment horizontal="center" vertical="center" wrapText="1"/>
    </xf>
    <xf numFmtId="3" fontId="6" fillId="13" borderId="45" xfId="2" applyNumberFormat="1" applyFont="1" applyFill="1" applyBorder="1" applyAlignment="1">
      <alignment horizontal="center"/>
    </xf>
    <xf numFmtId="1" fontId="6" fillId="13" borderId="45" xfId="2" applyNumberFormat="1" applyFont="1" applyFill="1" applyBorder="1" applyAlignment="1">
      <alignment horizontal="center"/>
    </xf>
    <xf numFmtId="3" fontId="21" fillId="4" borderId="27" xfId="3" applyNumberFormat="1" applyFont="1" applyFill="1" applyBorder="1" applyProtection="1"/>
    <xf numFmtId="3" fontId="21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1" fillId="0" borderId="42" xfId="3" applyNumberFormat="1" applyFont="1" applyFill="1" applyBorder="1" applyProtection="1"/>
    <xf numFmtId="3" fontId="21" fillId="0" borderId="43" xfId="3" applyNumberFormat="1" applyFont="1" applyFill="1" applyBorder="1" applyProtection="1"/>
    <xf numFmtId="10" fontId="21" fillId="3" borderId="42" xfId="4" applyNumberFormat="1" applyFont="1" applyFill="1" applyBorder="1" applyProtection="1">
      <protection locked="0"/>
    </xf>
    <xf numFmtId="10" fontId="21" fillId="3" borderId="43" xfId="4" applyNumberFormat="1" applyFont="1" applyFill="1" applyBorder="1" applyProtection="1">
      <protection locked="0"/>
    </xf>
    <xf numFmtId="10" fontId="21" fillId="3" borderId="44" xfId="4" applyNumberFormat="1" applyFont="1" applyFill="1" applyBorder="1" applyProtection="1">
      <protection locked="0"/>
    </xf>
    <xf numFmtId="10" fontId="21" fillId="5" borderId="14" xfId="4" applyNumberFormat="1" applyFont="1" applyFill="1" applyBorder="1" applyProtection="1">
      <protection locked="0"/>
    </xf>
    <xf numFmtId="165" fontId="22" fillId="6" borderId="12" xfId="3" applyNumberFormat="1" applyFont="1" applyFill="1" applyBorder="1" applyAlignment="1">
      <alignment horizontal="right"/>
    </xf>
    <xf numFmtId="10" fontId="22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0" fillId="3" borderId="2" xfId="6" applyNumberForma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3" fontId="21" fillId="4" borderId="29" xfId="4" applyNumberFormat="1" applyFont="1" applyFill="1" applyBorder="1" applyAlignment="1" applyProtection="1">
      <alignment horizontal="center"/>
      <protection locked="0"/>
    </xf>
    <xf numFmtId="3" fontId="21" fillId="4" borderId="35" xfId="4" applyNumberFormat="1" applyFont="1" applyFill="1" applyBorder="1" applyAlignment="1" applyProtection="1">
      <alignment horizontal="center"/>
      <protection locked="0"/>
    </xf>
    <xf numFmtId="3" fontId="21" fillId="4" borderId="26" xfId="4" applyNumberFormat="1" applyFont="1" applyFill="1" applyBorder="1" applyAlignment="1" applyProtection="1">
      <alignment horizontal="center"/>
      <protection locked="0"/>
    </xf>
    <xf numFmtId="10" fontId="21" fillId="5" borderId="28" xfId="4" applyNumberFormat="1" applyFont="1" applyFill="1" applyBorder="1" applyProtection="1">
      <protection locked="0"/>
    </xf>
    <xf numFmtId="10" fontId="21" fillId="5" borderId="31" xfId="4" applyNumberFormat="1" applyFont="1" applyFill="1" applyBorder="1" applyProtection="1">
      <protection locked="0"/>
    </xf>
    <xf numFmtId="10" fontId="21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1" fillId="0" borderId="32" xfId="3" applyNumberFormat="1" applyFont="1" applyFill="1" applyBorder="1" applyProtection="1"/>
    <xf numFmtId="3" fontId="21" fillId="0" borderId="29" xfId="3" applyNumberFormat="1" applyFont="1" applyFill="1" applyBorder="1" applyProtection="1"/>
    <xf numFmtId="168" fontId="21" fillId="3" borderId="42" xfId="4" applyNumberFormat="1" applyFont="1" applyFill="1" applyBorder="1" applyProtection="1">
      <protection locked="0"/>
    </xf>
    <xf numFmtId="168" fontId="21" fillId="3" borderId="43" xfId="4" applyNumberFormat="1" applyFont="1" applyFill="1" applyBorder="1" applyProtection="1">
      <protection locked="0"/>
    </xf>
    <xf numFmtId="1" fontId="21" fillId="0" borderId="15" xfId="3" applyNumberFormat="1" applyFont="1" applyFill="1" applyBorder="1" applyProtection="1"/>
    <xf numFmtId="1" fontId="21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19" fillId="7" borderId="23" xfId="2" applyFont="1" applyFill="1" applyBorder="1"/>
    <xf numFmtId="0" fontId="5" fillId="7" borderId="4" xfId="2" applyFill="1" applyBorder="1"/>
    <xf numFmtId="3" fontId="21" fillId="4" borderId="9" xfId="4" applyNumberFormat="1" applyFont="1" applyFill="1" applyBorder="1" applyProtection="1">
      <protection locked="0"/>
    </xf>
    <xf numFmtId="10" fontId="21" fillId="5" borderId="10" xfId="2" applyNumberFormat="1" applyFont="1" applyFill="1" applyBorder="1"/>
    <xf numFmtId="0" fontId="19" fillId="7" borderId="10" xfId="2" applyFont="1" applyFill="1" applyBorder="1"/>
    <xf numFmtId="10" fontId="33" fillId="11" borderId="48" xfId="1" applyNumberFormat="1" applyFont="1" applyFill="1" applyBorder="1" applyAlignment="1">
      <alignment horizontal="center"/>
    </xf>
    <xf numFmtId="10" fontId="33" fillId="11" borderId="48" xfId="1" applyNumberFormat="1" applyFont="1" applyFill="1" applyBorder="1" applyAlignment="1">
      <alignment horizontal="center" vertical="center" wrapText="1"/>
    </xf>
    <xf numFmtId="165" fontId="34" fillId="11" borderId="48" xfId="1" applyNumberFormat="1" applyFont="1" applyFill="1" applyBorder="1" applyAlignment="1">
      <alignment horizontal="center" vertical="center" wrapText="1"/>
    </xf>
    <xf numFmtId="10" fontId="33" fillId="11" borderId="98" xfId="1" applyNumberFormat="1" applyFont="1" applyFill="1" applyBorder="1" applyAlignment="1">
      <alignment horizontal="center"/>
    </xf>
    <xf numFmtId="10" fontId="33" fillId="11" borderId="98" xfId="1" applyNumberFormat="1" applyFont="1" applyFill="1" applyBorder="1" applyAlignment="1">
      <alignment horizontal="center" vertical="center" wrapText="1"/>
    </xf>
    <xf numFmtId="3" fontId="6" fillId="13" borderId="11" xfId="2" applyNumberFormat="1" applyFont="1" applyFill="1" applyBorder="1" applyAlignment="1">
      <alignment horizontal="center"/>
    </xf>
    <xf numFmtId="1" fontId="6" fillId="13" borderId="11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1" fontId="21" fillId="0" borderId="26" xfId="3" applyNumberFormat="1" applyFont="1" applyFill="1" applyBorder="1" applyProtection="1"/>
    <xf numFmtId="1" fontId="21" fillId="0" borderId="29" xfId="3" applyNumberFormat="1" applyFont="1" applyFill="1" applyBorder="1" applyProtection="1"/>
    <xf numFmtId="1" fontId="21" fillId="0" borderId="25" xfId="3" applyNumberFormat="1" applyFont="1" applyFill="1" applyBorder="1" applyProtection="1"/>
    <xf numFmtId="1" fontId="21" fillId="0" borderId="38" xfId="3" applyNumberFormat="1" applyFont="1" applyFill="1" applyBorder="1" applyProtection="1"/>
    <xf numFmtId="1" fontId="21" fillId="0" borderId="10" xfId="3" applyNumberFormat="1" applyFont="1" applyFill="1" applyBorder="1" applyProtection="1"/>
    <xf numFmtId="1" fontId="21" fillId="0" borderId="9" xfId="3" applyNumberFormat="1" applyFont="1" applyFill="1" applyBorder="1" applyProtection="1"/>
    <xf numFmtId="3" fontId="21" fillId="0" borderId="38" xfId="3" applyNumberFormat="1" applyFont="1" applyFill="1" applyBorder="1" applyProtection="1"/>
    <xf numFmtId="2" fontId="33" fillId="11" borderId="48" xfId="2" applyNumberFormat="1" applyFont="1" applyFill="1" applyBorder="1" applyAlignment="1">
      <alignment horizontal="center"/>
    </xf>
    <xf numFmtId="165" fontId="33" fillId="11" borderId="48" xfId="1" applyNumberFormat="1" applyFont="1" applyFill="1" applyBorder="1" applyAlignment="1">
      <alignment horizontal="center" vertical="center" wrapText="1"/>
    </xf>
    <xf numFmtId="0" fontId="19" fillId="7" borderId="10" xfId="6" applyFont="1" applyFill="1" applyBorder="1"/>
    <xf numFmtId="3" fontId="21" fillId="0" borderId="9" xfId="3" applyNumberFormat="1" applyFont="1" applyFill="1" applyBorder="1" applyProtection="1"/>
    <xf numFmtId="3" fontId="21" fillId="4" borderId="11" xfId="4" applyNumberFormat="1" applyFont="1" applyFill="1" applyBorder="1" applyAlignment="1" applyProtection="1">
      <alignment horizontal="center"/>
      <protection locked="0"/>
    </xf>
    <xf numFmtId="2" fontId="21" fillId="5" borderId="14" xfId="4" applyNumberFormat="1" applyFont="1" applyFill="1" applyBorder="1" applyProtection="1">
      <protection locked="0"/>
    </xf>
    <xf numFmtId="2" fontId="33" fillId="11" borderId="98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1" fillId="4" borderId="21" xfId="3" applyNumberFormat="1" applyFont="1" applyFill="1" applyBorder="1" applyAlignment="1" applyProtection="1">
      <alignment horizontal="center"/>
    </xf>
    <xf numFmtId="3" fontId="21" fillId="4" borderId="25" xfId="3" applyNumberFormat="1" applyFont="1" applyFill="1" applyBorder="1" applyAlignment="1" applyProtection="1">
      <alignment horizontal="center"/>
    </xf>
    <xf numFmtId="1" fontId="21" fillId="0" borderId="1" xfId="3" applyNumberFormat="1" applyFont="1" applyFill="1" applyBorder="1" applyProtection="1"/>
    <xf numFmtId="10" fontId="33" fillId="11" borderId="13" xfId="1" applyNumberFormat="1" applyFont="1" applyFill="1" applyBorder="1" applyAlignment="1">
      <alignment horizontal="center"/>
    </xf>
    <xf numFmtId="0" fontId="16" fillId="12" borderId="60" xfId="0" applyFont="1" applyFill="1" applyBorder="1" applyAlignment="1">
      <alignment horizontal="center" vertical="center" wrapText="1"/>
    </xf>
    <xf numFmtId="10" fontId="33" fillId="11" borderId="50" xfId="1" applyNumberFormat="1" applyFont="1" applyFill="1" applyBorder="1" applyAlignment="1">
      <alignment horizontal="center" vertical="center" wrapText="1"/>
    </xf>
    <xf numFmtId="10" fontId="33" fillId="11" borderId="114" xfId="1" applyNumberFormat="1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165" fontId="34" fillId="11" borderId="51" xfId="1" applyNumberFormat="1" applyFont="1" applyFill="1" applyBorder="1" applyAlignment="1">
      <alignment horizontal="center" vertical="center" wrapText="1"/>
    </xf>
    <xf numFmtId="165" fontId="34" fillId="11" borderId="115" xfId="1" applyNumberFormat="1" applyFont="1" applyFill="1" applyBorder="1" applyAlignment="1">
      <alignment horizontal="center" vertical="center" wrapText="1"/>
    </xf>
    <xf numFmtId="165" fontId="22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3" fillId="8" borderId="38" xfId="2" applyNumberFormat="1" applyFont="1" applyFill="1" applyBorder="1"/>
    <xf numFmtId="2" fontId="5" fillId="9" borderId="38" xfId="2" applyNumberFormat="1" applyFill="1" applyBorder="1"/>
    <xf numFmtId="165" fontId="33" fillId="11" borderId="48" xfId="1" applyNumberFormat="1" applyFont="1" applyFill="1" applyBorder="1" applyAlignment="1">
      <alignment horizontal="center" vertical="center"/>
    </xf>
    <xf numFmtId="165" fontId="34" fillId="11" borderId="48" xfId="1" applyNumberFormat="1" applyFont="1" applyFill="1" applyBorder="1" applyAlignment="1">
      <alignment horizontal="center" vertical="center"/>
    </xf>
    <xf numFmtId="1" fontId="34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5" fillId="9" borderId="9" xfId="2" applyNumberFormat="1" applyFill="1" applyBorder="1"/>
    <xf numFmtId="165" fontId="33" fillId="11" borderId="98" xfId="1" applyNumberFormat="1" applyFont="1" applyFill="1" applyBorder="1" applyAlignment="1">
      <alignment horizontal="center" vertical="center"/>
    </xf>
    <xf numFmtId="165" fontId="34" fillId="11" borderId="98" xfId="1" applyNumberFormat="1" applyFont="1" applyFill="1" applyBorder="1" applyAlignment="1">
      <alignment horizontal="center" vertical="center"/>
    </xf>
    <xf numFmtId="1" fontId="34" fillId="11" borderId="14" xfId="2" applyNumberFormat="1" applyFont="1" applyFill="1" applyBorder="1" applyAlignment="1">
      <alignment horizontal="center" vertical="center"/>
    </xf>
    <xf numFmtId="2" fontId="23" fillId="8" borderId="32" xfId="2" applyNumberFormat="1" applyFont="1" applyFill="1" applyBorder="1"/>
    <xf numFmtId="2" fontId="21" fillId="9" borderId="21" xfId="2" applyNumberFormat="1" applyFont="1" applyFill="1" applyBorder="1"/>
    <xf numFmtId="3" fontId="21" fillId="34" borderId="25" xfId="3" applyNumberFormat="1" applyFont="1" applyFill="1" applyBorder="1" applyProtection="1"/>
    <xf numFmtId="10" fontId="22" fillId="6" borderId="41" xfId="3" applyNumberFormat="1" applyFont="1" applyFill="1" applyBorder="1" applyAlignment="1">
      <alignment horizontal="right"/>
    </xf>
    <xf numFmtId="3" fontId="21" fillId="34" borderId="10" xfId="3" applyNumberFormat="1" applyFont="1" applyFill="1" applyBorder="1" applyProtection="1"/>
    <xf numFmtId="165" fontId="33" fillId="11" borderId="60" xfId="1" applyNumberFormat="1" applyFont="1" applyFill="1" applyBorder="1" applyAlignment="1">
      <alignment horizontal="center" vertical="center" wrapText="1"/>
    </xf>
    <xf numFmtId="165" fontId="33" fillId="11" borderId="50" xfId="1" applyNumberFormat="1" applyFont="1" applyFill="1" applyBorder="1" applyAlignment="1">
      <alignment horizontal="center" vertical="center" wrapText="1"/>
    </xf>
    <xf numFmtId="3" fontId="6" fillId="13" borderId="7" xfId="2" applyNumberFormat="1" applyFont="1" applyFill="1" applyBorder="1" applyAlignment="1">
      <alignment horizontal="center"/>
    </xf>
    <xf numFmtId="1" fontId="6" fillId="13" borderId="7" xfId="2" applyNumberFormat="1" applyFont="1" applyFill="1" applyBorder="1" applyAlignment="1">
      <alignment horizontal="center"/>
    </xf>
    <xf numFmtId="2" fontId="33" fillId="11" borderId="46" xfId="2" applyNumberFormat="1" applyFont="1" applyFill="1" applyBorder="1" applyAlignment="1">
      <alignment horizontal="center"/>
    </xf>
    <xf numFmtId="165" fontId="33" fillId="11" borderId="46" xfId="1" applyNumberFormat="1" applyFont="1" applyFill="1" applyBorder="1" applyAlignment="1">
      <alignment horizontal="center" vertical="center" wrapText="1"/>
    </xf>
    <xf numFmtId="3" fontId="21" fillId="0" borderId="4" xfId="3" applyNumberFormat="1" applyFont="1" applyFill="1" applyBorder="1" applyProtection="1"/>
    <xf numFmtId="3" fontId="6" fillId="13" borderId="48" xfId="2" applyNumberFormat="1" applyFont="1" applyFill="1" applyBorder="1" applyAlignment="1">
      <alignment horizontal="center"/>
    </xf>
    <xf numFmtId="1" fontId="6" fillId="13" borderId="48" xfId="2" applyNumberFormat="1" applyFont="1" applyFill="1" applyBorder="1" applyAlignment="1">
      <alignment horizontal="center"/>
    </xf>
    <xf numFmtId="3" fontId="21" fillId="0" borderId="10" xfId="3" applyNumberFormat="1" applyFont="1" applyFill="1" applyBorder="1" applyProtection="1"/>
    <xf numFmtId="3" fontId="6" fillId="13" borderId="98" xfId="2" applyNumberFormat="1" applyFont="1" applyFill="1" applyBorder="1" applyAlignment="1">
      <alignment horizontal="center"/>
    </xf>
    <xf numFmtId="1" fontId="6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1" fillId="39" borderId="10" xfId="3" applyNumberFormat="1" applyFont="1" applyFill="1" applyBorder="1" applyProtection="1"/>
    <xf numFmtId="1" fontId="21" fillId="39" borderId="9" xfId="4" applyNumberFormat="1" applyFont="1" applyFill="1" applyBorder="1" applyProtection="1">
      <protection locked="0"/>
    </xf>
    <xf numFmtId="165" fontId="22" fillId="6" borderId="9" xfId="3" applyNumberFormat="1" applyFont="1" applyFill="1" applyBorder="1" applyAlignment="1">
      <alignment horizontal="right"/>
    </xf>
    <xf numFmtId="3" fontId="21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1" fillId="0" borderId="25" xfId="3" applyNumberFormat="1" applyFont="1" applyFill="1" applyBorder="1" applyProtection="1"/>
    <xf numFmtId="0" fontId="117" fillId="0" borderId="0" xfId="2" applyFont="1"/>
    <xf numFmtId="0" fontId="28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8" fillId="0" borderId="8" xfId="0" applyNumberFormat="1" applyFont="1" applyBorder="1" applyAlignment="1">
      <alignment horizontal="center" vertical="center" wrapText="1"/>
    </xf>
    <xf numFmtId="165" fontId="28" fillId="0" borderId="102" xfId="0" applyNumberFormat="1" applyFont="1" applyBorder="1" applyAlignment="1">
      <alignment horizontal="center" vertical="center" wrapText="1"/>
    </xf>
    <xf numFmtId="10" fontId="28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0" fontId="13" fillId="0" borderId="45" xfId="1" applyNumberFormat="1" applyFont="1" applyFill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5" fillId="3" borderId="9" xfId="2" applyNumberFormat="1" applyFill="1" applyBorder="1" applyAlignment="1">
      <alignment horizontal="center" vertical="center" wrapText="1"/>
    </xf>
    <xf numFmtId="166" fontId="21" fillId="5" borderId="1" xfId="2" applyNumberFormat="1" applyFont="1" applyFill="1" applyBorder="1"/>
    <xf numFmtId="166" fontId="21" fillId="5" borderId="4" xfId="2" applyNumberFormat="1" applyFont="1" applyFill="1" applyBorder="1"/>
    <xf numFmtId="166" fontId="21" fillId="5" borderId="10" xfId="2" applyNumberFormat="1" applyFont="1" applyFill="1" applyBorder="1"/>
    <xf numFmtId="165" fontId="18" fillId="5" borderId="9" xfId="2" applyNumberFormat="1" applyFont="1" applyFill="1" applyBorder="1" applyAlignment="1">
      <alignment horizontal="center" vertical="center" wrapText="1"/>
    </xf>
    <xf numFmtId="10" fontId="18" fillId="5" borderId="9" xfId="2" applyNumberFormat="1" applyFont="1" applyFill="1" applyBorder="1" applyAlignment="1">
      <alignment horizontal="center" vertical="center" wrapText="1"/>
    </xf>
    <xf numFmtId="3" fontId="21" fillId="4" borderId="42" xfId="3" applyNumberFormat="1" applyFont="1" applyFill="1" applyBorder="1" applyProtection="1"/>
    <xf numFmtId="165" fontId="18" fillId="5" borderId="1" xfId="2" applyNumberFormat="1" applyFont="1" applyFill="1" applyBorder="1" applyAlignment="1">
      <alignment horizontal="center" vertical="center" wrapText="1"/>
    </xf>
    <xf numFmtId="165" fontId="21" fillId="5" borderId="28" xfId="4" applyNumberFormat="1" applyFont="1" applyFill="1" applyBorder="1" applyProtection="1">
      <protection locked="0"/>
    </xf>
    <xf numFmtId="165" fontId="21" fillId="5" borderId="31" xfId="4" applyNumberFormat="1" applyFont="1" applyFill="1" applyBorder="1" applyProtection="1">
      <protection locked="0"/>
    </xf>
    <xf numFmtId="3" fontId="21" fillId="4" borderId="39" xfId="3" applyNumberFormat="1" applyFont="1" applyFill="1" applyBorder="1" applyProtection="1"/>
    <xf numFmtId="165" fontId="21" fillId="5" borderId="41" xfId="4" applyNumberFormat="1" applyFont="1" applyFill="1" applyBorder="1" applyProtection="1">
      <protection locked="0"/>
    </xf>
    <xf numFmtId="3" fontId="21" fillId="4" borderId="11" xfId="3" applyNumberFormat="1" applyFont="1" applyFill="1" applyBorder="1" applyProtection="1"/>
    <xf numFmtId="165" fontId="21" fillId="5" borderId="12" xfId="4" applyNumberFormat="1" applyFont="1" applyFill="1" applyBorder="1" applyProtection="1">
      <protection locked="0"/>
    </xf>
    <xf numFmtId="10" fontId="21" fillId="5" borderId="41" xfId="4" applyNumberFormat="1" applyFont="1" applyFill="1" applyBorder="1" applyProtection="1">
      <protection locked="0"/>
    </xf>
    <xf numFmtId="10" fontId="21" fillId="5" borderId="42" xfId="2" applyNumberFormat="1" applyFont="1" applyFill="1" applyBorder="1"/>
    <xf numFmtId="10" fontId="21" fillId="5" borderId="43" xfId="2" applyNumberFormat="1" applyFont="1" applyFill="1" applyBorder="1"/>
    <xf numFmtId="10" fontId="21" fillId="5" borderId="44" xfId="2" applyNumberFormat="1" applyFont="1" applyFill="1" applyBorder="1"/>
    <xf numFmtId="9" fontId="16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5" fillId="3" borderId="0" xfId="2" applyNumberFormat="1" applyFill="1" applyBorder="1" applyAlignment="1">
      <alignment horizontal="center" vertical="center" wrapText="1"/>
    </xf>
    <xf numFmtId="9" fontId="18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0" fillId="4" borderId="1" xfId="2" applyFont="1" applyFill="1" applyBorder="1" applyAlignment="1">
      <alignment horizontal="center" vertical="center" wrapText="1"/>
    </xf>
    <xf numFmtId="9" fontId="18" fillId="5" borderId="9" xfId="6" applyNumberFormat="1" applyFont="1" applyFill="1" applyBorder="1" applyAlignment="1">
      <alignment horizontal="center" vertical="center" wrapText="1"/>
    </xf>
    <xf numFmtId="9" fontId="18" fillId="5" borderId="10" xfId="6" applyNumberFormat="1" applyFont="1" applyFill="1" applyBorder="1" applyAlignment="1">
      <alignment horizontal="center" vertical="center" wrapText="1"/>
    </xf>
    <xf numFmtId="10" fontId="21" fillId="5" borderId="9" xfId="4" applyNumberFormat="1" applyFont="1" applyFill="1" applyBorder="1" applyProtection="1">
      <protection locked="0"/>
    </xf>
    <xf numFmtId="2" fontId="18" fillId="5" borderId="13" xfId="2" applyNumberFormat="1" applyFont="1" applyFill="1" applyBorder="1" applyAlignment="1">
      <alignment horizontal="center" vertical="center" wrapText="1"/>
    </xf>
    <xf numFmtId="2" fontId="21" fillId="9" borderId="4" xfId="2" applyNumberFormat="1" applyFont="1" applyFill="1" applyBorder="1"/>
    <xf numFmtId="2" fontId="21" fillId="9" borderId="9" xfId="2" applyNumberFormat="1" applyFont="1" applyFill="1" applyBorder="1"/>
    <xf numFmtId="10" fontId="22" fillId="6" borderId="9" xfId="3" applyNumberFormat="1" applyFont="1" applyFill="1" applyBorder="1" applyAlignment="1">
      <alignment horizontal="right"/>
    </xf>
    <xf numFmtId="10" fontId="18" fillId="5" borderId="10" xfId="2" applyNumberFormat="1" applyFont="1" applyFill="1" applyBorder="1" applyAlignment="1">
      <alignment horizontal="center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horizontal="center" vertical="center" wrapText="1"/>
    </xf>
    <xf numFmtId="9" fontId="28" fillId="7" borderId="8" xfId="0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vertical="center" wrapText="1"/>
    </xf>
    <xf numFmtId="10" fontId="28" fillId="7" borderId="12" xfId="1" applyNumberFormat="1" applyFont="1" applyFill="1" applyBorder="1" applyAlignment="1">
      <alignment horizontal="center" vertical="center" wrapText="1"/>
    </xf>
    <xf numFmtId="10" fontId="21" fillId="3" borderId="10" xfId="4" applyNumberFormat="1" applyFont="1" applyFill="1" applyBorder="1" applyProtection="1">
      <protection locked="0"/>
    </xf>
    <xf numFmtId="10" fontId="21" fillId="3" borderId="7" xfId="4" applyNumberFormat="1" applyFont="1" applyFill="1" applyBorder="1" applyProtection="1">
      <protection locked="0"/>
    </xf>
    <xf numFmtId="2" fontId="18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5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8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2" fillId="0" borderId="14" xfId="4" applyNumberFormat="1" applyFont="1" applyFill="1" applyBorder="1" applyProtection="1">
      <protection locked="0"/>
    </xf>
    <xf numFmtId="3" fontId="28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2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2" fillId="0" borderId="48" xfId="4" applyNumberFormat="1" applyFont="1" applyFill="1" applyBorder="1" applyProtection="1">
      <protection locked="0"/>
    </xf>
    <xf numFmtId="1" fontId="22" fillId="0" borderId="98" xfId="4" applyNumberFormat="1" applyFont="1" applyFill="1" applyBorder="1" applyProtection="1">
      <protection locked="0"/>
    </xf>
    <xf numFmtId="3" fontId="28" fillId="0" borderId="126" xfId="10" applyNumberFormat="1" applyFont="1" applyBorder="1"/>
    <xf numFmtId="1" fontId="21" fillId="0" borderId="121" xfId="4" applyNumberFormat="1" applyFont="1" applyFill="1" applyBorder="1" applyProtection="1">
      <protection locked="0"/>
    </xf>
    <xf numFmtId="1" fontId="21" fillId="0" borderId="125" xfId="4" applyNumberFormat="1" applyFont="1" applyFill="1" applyBorder="1" applyProtection="1">
      <protection locked="0"/>
    </xf>
    <xf numFmtId="3" fontId="28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1" fillId="0" borderId="128" xfId="4" applyNumberFormat="1" applyFont="1" applyFill="1" applyBorder="1" applyProtection="1">
      <protection locked="0"/>
    </xf>
    <xf numFmtId="0" fontId="2" fillId="0" borderId="0" xfId="2" applyFont="1"/>
    <xf numFmtId="0" fontId="13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4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3" fillId="11" borderId="76" xfId="1" applyNumberFormat="1" applyFont="1" applyFill="1" applyBorder="1" applyAlignment="1">
      <alignment horizontal="center"/>
    </xf>
    <xf numFmtId="3" fontId="21" fillId="4" borderId="13" xfId="3" applyNumberFormat="1" applyFont="1" applyFill="1" applyBorder="1" applyProtection="1"/>
    <xf numFmtId="3" fontId="21" fillId="4" borderId="98" xfId="3" applyNumberFormat="1" applyFont="1" applyFill="1" applyBorder="1" applyProtection="1"/>
    <xf numFmtId="3" fontId="21" fillId="4" borderId="98" xfId="3" applyNumberFormat="1" applyFont="1" applyFill="1" applyBorder="1" applyAlignment="1" applyProtection="1">
      <alignment horizontal="center"/>
    </xf>
    <xf numFmtId="10" fontId="21" fillId="3" borderId="98" xfId="4" applyNumberFormat="1" applyFont="1" applyFill="1" applyBorder="1" applyProtection="1">
      <protection locked="0"/>
    </xf>
    <xf numFmtId="10" fontId="21" fillId="5" borderId="98" xfId="6" applyNumberFormat="1" applyFont="1" applyFill="1" applyBorder="1"/>
    <xf numFmtId="10" fontId="21" fillId="5" borderId="98" xfId="4" applyNumberFormat="1" applyFont="1" applyFill="1" applyBorder="1" applyProtection="1">
      <protection locked="0"/>
    </xf>
    <xf numFmtId="165" fontId="22" fillId="6" borderId="98" xfId="3" applyNumberFormat="1" applyFont="1" applyFill="1" applyBorder="1" applyAlignment="1">
      <alignment horizontal="right"/>
    </xf>
    <xf numFmtId="0" fontId="24" fillId="0" borderId="45" xfId="2" applyFont="1" applyBorder="1"/>
    <xf numFmtId="2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7" borderId="45" xfId="0" applyFill="1" applyBorder="1"/>
    <xf numFmtId="0" fontId="8" fillId="0" borderId="0" xfId="0" applyFont="1"/>
    <xf numFmtId="10" fontId="21" fillId="5" borderId="117" xfId="4" applyNumberFormat="1" applyFont="1" applyFill="1" applyBorder="1" applyProtection="1">
      <protection locked="0"/>
    </xf>
    <xf numFmtId="2" fontId="33" fillId="11" borderId="115" xfId="2" applyNumberFormat="1" applyFont="1" applyFill="1" applyBorder="1" applyAlignment="1">
      <alignment horizontal="center"/>
    </xf>
    <xf numFmtId="2" fontId="33" fillId="11" borderId="9" xfId="2" applyNumberFormat="1" applyFont="1" applyFill="1" applyBorder="1" applyAlignment="1">
      <alignment horizontal="center"/>
    </xf>
    <xf numFmtId="0" fontId="19" fillId="3" borderId="9" xfId="2" applyFont="1" applyFill="1" applyBorder="1"/>
    <xf numFmtId="9" fontId="15" fillId="6" borderId="5" xfId="1" applyNumberFormat="1" applyFont="1" applyFill="1" applyBorder="1" applyAlignment="1">
      <alignment horizontal="center" vertical="center" wrapText="1"/>
    </xf>
    <xf numFmtId="165" fontId="22" fillId="6" borderId="27" xfId="3" applyNumberFormat="1" applyFont="1" applyFill="1" applyBorder="1" applyAlignment="1">
      <alignment horizontal="right"/>
    </xf>
    <xf numFmtId="165" fontId="22" fillId="6" borderId="30" xfId="3" applyNumberFormat="1" applyFont="1" applyFill="1" applyBorder="1" applyAlignment="1">
      <alignment horizontal="right"/>
    </xf>
    <xf numFmtId="165" fontId="22" fillId="6" borderId="39" xfId="3" applyNumberFormat="1" applyFont="1" applyFill="1" applyBorder="1" applyAlignment="1">
      <alignment horizontal="right"/>
    </xf>
    <xf numFmtId="165" fontId="22" fillId="6" borderId="11" xfId="3" applyNumberFormat="1" applyFont="1" applyFill="1" applyBorder="1" applyAlignment="1">
      <alignment horizontal="right"/>
    </xf>
    <xf numFmtId="10" fontId="33" fillId="11" borderId="51" xfId="1" applyNumberFormat="1" applyFont="1" applyFill="1" applyBorder="1" applyAlignment="1">
      <alignment horizontal="center"/>
    </xf>
    <xf numFmtId="10" fontId="33" fillId="11" borderId="115" xfId="1" applyNumberFormat="1" applyFont="1" applyFill="1" applyBorder="1" applyAlignment="1">
      <alignment horizontal="center"/>
    </xf>
    <xf numFmtId="2" fontId="15" fillId="6" borderId="5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0" fillId="0" borderId="39" xfId="8" applyNumberFormat="1" applyBorder="1"/>
    <xf numFmtId="10" fontId="20" fillId="0" borderId="5" xfId="8" applyNumberFormat="1" applyBorder="1"/>
    <xf numFmtId="10" fontId="64" fillId="9" borderId="38" xfId="8" applyNumberFormat="1" applyFont="1" applyFill="1" applyBorder="1"/>
    <xf numFmtId="0" fontId="20" fillId="0" borderId="9" xfId="8" applyBorder="1"/>
    <xf numFmtId="10" fontId="20" fillId="0" borderId="11" xfId="8" applyNumberFormat="1" applyBorder="1"/>
    <xf numFmtId="165" fontId="5" fillId="0" borderId="11" xfId="2" applyNumberFormat="1" applyBorder="1"/>
    <xf numFmtId="10" fontId="20" fillId="0" borderId="12" xfId="8" applyNumberFormat="1" applyBorder="1"/>
    <xf numFmtId="10" fontId="64" fillId="9" borderId="9" xfId="8" applyNumberFormat="1" applyFont="1" applyFill="1" applyBorder="1"/>
    <xf numFmtId="2" fontId="15" fillId="6" borderId="5" xfId="2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8" fillId="0" borderId="45" xfId="0" applyFont="1" applyBorder="1"/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3" fontId="21" fillId="4" borderId="68" xfId="4" applyNumberFormat="1" applyFont="1" applyFill="1" applyBorder="1" applyProtection="1">
      <protection locked="0"/>
    </xf>
    <xf numFmtId="3" fontId="21" fillId="4" borderId="69" xfId="4" applyNumberFormat="1" applyFont="1" applyFill="1" applyBorder="1" applyProtection="1">
      <protection locked="0"/>
    </xf>
    <xf numFmtId="3" fontId="21" fillId="4" borderId="72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8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1" fillId="7" borderId="17" xfId="3" applyNumberFormat="1" applyFont="1" applyFill="1" applyBorder="1" applyProtection="1"/>
    <xf numFmtId="0" fontId="1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8" fillId="7" borderId="0" xfId="0" applyNumberFormat="1" applyFont="1" applyFill="1"/>
    <xf numFmtId="0" fontId="62" fillId="7" borderId="77" xfId="5" applyFont="1" applyFill="1" applyBorder="1"/>
    <xf numFmtId="1" fontId="23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2" fillId="0" borderId="13" xfId="4" applyNumberFormat="1" applyFont="1" applyFill="1" applyBorder="1" applyProtection="1">
      <protection locked="0"/>
    </xf>
    <xf numFmtId="1" fontId="22" fillId="0" borderId="115" xfId="4" applyNumberFormat="1" applyFont="1" applyFill="1" applyBorder="1" applyProtection="1">
      <protection locked="0"/>
    </xf>
    <xf numFmtId="0" fontId="9" fillId="0" borderId="0" xfId="2" applyFont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68" fillId="0" borderId="7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99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101" xfId="0" applyFont="1" applyBorder="1" applyAlignment="1">
      <alignment vertical="center" wrapText="1"/>
    </xf>
    <xf numFmtId="9" fontId="28" fillId="0" borderId="99" xfId="0" applyNumberFormat="1" applyFont="1" applyBorder="1" applyAlignment="1">
      <alignment horizontal="center" vertical="center" wrapText="1"/>
    </xf>
    <xf numFmtId="9" fontId="28" fillId="0" borderId="100" xfId="0" applyNumberFormat="1" applyFont="1" applyBorder="1" applyAlignment="1">
      <alignment horizontal="center" vertical="center" wrapText="1"/>
    </xf>
    <xf numFmtId="9" fontId="28" fillId="0" borderId="101" xfId="0" applyNumberFormat="1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8" fillId="22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10" fontId="28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10" fontId="28" fillId="23" borderId="54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2" fontId="28" fillId="23" borderId="54" xfId="8" applyNumberFormat="1" applyFont="1" applyFill="1" applyBorder="1" applyAlignment="1">
      <alignment horizontal="center" vertical="center" wrapText="1"/>
    </xf>
    <xf numFmtId="10" fontId="28" fillId="23" borderId="6" xfId="2" applyNumberFormat="1" applyFont="1" applyFill="1" applyBorder="1" applyAlignment="1">
      <alignment horizontal="center" vertical="center" wrapText="1"/>
    </xf>
    <xf numFmtId="10" fontId="28" fillId="23" borderId="7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wrapText="1"/>
    </xf>
    <xf numFmtId="2" fontId="28" fillId="23" borderId="54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10" fontId="5" fillId="3" borderId="6" xfId="2" applyNumberForma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0" fontId="15" fillId="8" borderId="1" xfId="2" applyNumberFormat="1" applyFont="1" applyFill="1" applyBorder="1" applyAlignment="1">
      <alignment horizontal="center" vertical="center" wrapText="1"/>
    </xf>
    <xf numFmtId="10" fontId="5" fillId="8" borderId="6" xfId="2" applyNumberFormat="1" applyFill="1" applyBorder="1" applyAlignment="1">
      <alignment horizontal="center" vertical="center" wrapText="1"/>
    </xf>
    <xf numFmtId="0" fontId="25" fillId="9" borderId="10" xfId="2" applyFont="1" applyFill="1" applyBorder="1" applyAlignment="1">
      <alignment horizontal="center" vertical="center"/>
    </xf>
    <xf numFmtId="0" fontId="25" fillId="9" borderId="12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2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/>
    </xf>
    <xf numFmtId="0" fontId="15" fillId="4" borderId="11" xfId="2" applyFont="1" applyFill="1" applyBorder="1" applyAlignment="1">
      <alignment horizontal="center"/>
    </xf>
    <xf numFmtId="0" fontId="15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5" fillId="3" borderId="4" xfId="2" applyNumberForma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7" xfId="2" applyFont="1" applyFill="1" applyBorder="1" applyAlignment="1">
      <alignment horizontal="center" vertical="center" wrapText="1"/>
    </xf>
    <xf numFmtId="0" fontId="36" fillId="3" borderId="8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/>
    </xf>
    <xf numFmtId="0" fontId="39" fillId="0" borderId="48" xfId="2" applyFont="1" applyBorder="1" applyAlignment="1">
      <alignment horizontal="center" wrapText="1"/>
    </xf>
    <xf numFmtId="0" fontId="15" fillId="9" borderId="10" xfId="2" applyFont="1" applyFill="1" applyBorder="1" applyAlignment="1">
      <alignment horizontal="center" vertical="center"/>
    </xf>
    <xf numFmtId="0" fontId="15" fillId="9" borderId="1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0" fillId="17" borderId="45" xfId="7" applyNumberForma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10" fontId="15" fillId="3" borderId="1" xfId="6" applyNumberFormat="1" applyFont="1" applyFill="1" applyBorder="1" applyAlignment="1">
      <alignment horizontal="center" vertical="center" wrapText="1"/>
    </xf>
    <xf numFmtId="10" fontId="20" fillId="3" borderId="6" xfId="6" applyNumberFormat="1" applyFill="1" applyBorder="1" applyAlignment="1">
      <alignment horizontal="center" vertical="center" wrapText="1"/>
    </xf>
    <xf numFmtId="0" fontId="15" fillId="5" borderId="10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/>
    </xf>
    <xf numFmtId="0" fontId="15" fillId="6" borderId="10" xfId="6" applyFont="1" applyFill="1" applyBorder="1" applyAlignment="1">
      <alignment horizontal="center" vertical="center" wrapText="1"/>
    </xf>
    <xf numFmtId="0" fontId="15" fillId="6" borderId="12" xfId="6" applyFont="1" applyFill="1" applyBorder="1" applyAlignment="1">
      <alignment horizontal="center" vertical="center"/>
    </xf>
    <xf numFmtId="0" fontId="17" fillId="4" borderId="10" xfId="7" applyFont="1" applyFill="1" applyBorder="1" applyAlignment="1">
      <alignment horizontal="center" vertical="center" wrapText="1"/>
    </xf>
    <xf numFmtId="0" fontId="17" fillId="4" borderId="11" xfId="7" applyFont="1" applyFill="1" applyBorder="1" applyAlignment="1">
      <alignment horizontal="center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13" fillId="3" borderId="50" xfId="6" applyFont="1" applyFill="1" applyBorder="1" applyAlignment="1">
      <alignment horizontal="center" vertical="center" wrapText="1"/>
    </xf>
    <xf numFmtId="0" fontId="13" fillId="3" borderId="52" xfId="6" applyFont="1" applyFill="1" applyBorder="1" applyAlignment="1">
      <alignment horizontal="center" vertical="center" wrapText="1"/>
    </xf>
    <xf numFmtId="0" fontId="13" fillId="3" borderId="51" xfId="6" applyFont="1" applyFill="1" applyBorder="1" applyAlignment="1">
      <alignment horizontal="center" vertical="center" wrapText="1"/>
    </xf>
    <xf numFmtId="0" fontId="13" fillId="3" borderId="58" xfId="6" applyFont="1" applyFill="1" applyBorder="1" applyAlignment="1">
      <alignment horizontal="center" vertical="center" wrapTex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7" xfId="6" applyFont="1" applyFill="1" applyBorder="1" applyAlignment="1">
      <alignment horizontal="center" vertical="center" wrapText="1"/>
    </xf>
    <xf numFmtId="10" fontId="15" fillId="3" borderId="4" xfId="6" applyNumberFormat="1" applyFont="1" applyFill="1" applyBorder="1" applyAlignment="1">
      <alignment horizontal="center" vertical="center" wrapText="1"/>
    </xf>
    <xf numFmtId="0" fontId="15" fillId="5" borderId="6" xfId="6" applyFont="1" applyFill="1" applyBorder="1" applyAlignment="1">
      <alignment horizontal="center" vertical="center"/>
    </xf>
    <xf numFmtId="0" fontId="15" fillId="5" borderId="7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0" fontId="5" fillId="3" borderId="7" xfId="2" applyNumberForma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6" fillId="0" borderId="69" xfId="8" applyFont="1" applyBorder="1" applyAlignment="1">
      <alignment wrapText="1"/>
    </xf>
    <xf numFmtId="0" fontId="16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6" fillId="5" borderId="69" xfId="0" applyNumberFormat="1" applyFont="1" applyFill="1" applyBorder="1" applyAlignment="1">
      <alignment horizontal="center" vertical="center" wrapText="1"/>
    </xf>
    <xf numFmtId="10" fontId="16" fillId="5" borderId="72" xfId="0" applyNumberFormat="1" applyFont="1" applyFill="1" applyBorder="1" applyAlignment="1">
      <alignment horizontal="center" vertical="center" wrapText="1"/>
    </xf>
    <xf numFmtId="10" fontId="28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3" fillId="23" borderId="54" xfId="0" applyFont="1" applyFill="1" applyBorder="1" applyAlignment="1">
      <alignment horizontal="center" vertical="center" wrapText="1"/>
    </xf>
    <xf numFmtId="0" fontId="62" fillId="25" borderId="45" xfId="5" applyFont="1" applyFill="1" applyBorder="1" applyAlignment="1">
      <alignment horizontal="center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14" fillId="23" borderId="76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14" fillId="7" borderId="76" xfId="5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6" fillId="28" borderId="45" xfId="0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22" fillId="23" borderId="45" xfId="0" applyFont="1" applyFill="1" applyBorder="1" applyAlignment="1">
      <alignment horizont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7" borderId="76" xfId="5" applyFont="1" applyFill="1" applyBorder="1" applyAlignment="1">
      <alignment horizontal="center" vertical="center" wrapText="1"/>
    </xf>
    <xf numFmtId="0" fontId="79" fillId="7" borderId="45" xfId="5" applyFont="1" applyFill="1" applyBorder="1" applyAlignment="1">
      <alignment horizontal="center" vertical="center" wrapText="1"/>
    </xf>
    <xf numFmtId="0" fontId="79" fillId="38" borderId="45" xfId="5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6" fillId="36" borderId="45" xfId="12" applyFont="1" applyFill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textRotation="90" wrapText="1"/>
    </xf>
    <xf numFmtId="0" fontId="6" fillId="36" borderId="45" xfId="12" applyFont="1" applyFill="1" applyBorder="1" applyAlignment="1">
      <alignment horizontal="center" vertical="center" textRotation="90" wrapText="1"/>
    </xf>
    <xf numFmtId="0" fontId="96" fillId="0" borderId="45" xfId="12" applyFont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textRotation="90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theme" Target="theme/theme1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28" Type="http://schemas.openxmlformats.org/officeDocument/2006/relationships/externalLink" Target="externalLinks/externalLink9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18" Type="http://schemas.openxmlformats.org/officeDocument/2006/relationships/externalLink" Target="externalLinks/externalLink87.xml"/><Relationship Id="rId134" Type="http://schemas.openxmlformats.org/officeDocument/2006/relationships/externalLink" Target="externalLinks/externalLink103.xml"/><Relationship Id="rId139" Type="http://schemas.openxmlformats.org/officeDocument/2006/relationships/styles" Target="styles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08" Type="http://schemas.openxmlformats.org/officeDocument/2006/relationships/externalLink" Target="externalLinks/externalLink77.xml"/><Relationship Id="rId124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35" Type="http://schemas.openxmlformats.org/officeDocument/2006/relationships/externalLink" Target="externalLinks/externalLink10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externalLink" Target="externalLinks/externalLink73.xml"/><Relationship Id="rId120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94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6" Type="http://schemas.openxmlformats.org/officeDocument/2006/relationships/worksheet" Target="worksheets/sheet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F10" sqref="F10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09"/>
      <c r="C2" s="809"/>
      <c r="D2" s="809"/>
      <c r="E2" s="809"/>
      <c r="F2" s="809"/>
      <c r="G2" s="809"/>
      <c r="H2" s="809"/>
      <c r="I2" s="809"/>
    </row>
    <row r="3" spans="2:9" ht="62.25" customHeight="1" x14ac:dyDescent="0.45">
      <c r="B3" s="810" t="s">
        <v>0</v>
      </c>
      <c r="C3" s="811"/>
      <c r="D3" s="811"/>
      <c r="E3" s="811"/>
      <c r="F3" s="811"/>
      <c r="G3" s="811"/>
      <c r="H3" s="811"/>
      <c r="I3" s="812"/>
    </row>
    <row r="4" spans="2:9" ht="31.5" customHeight="1" x14ac:dyDescent="0.45">
      <c r="B4" s="813"/>
      <c r="C4" s="814"/>
      <c r="D4" s="814"/>
      <c r="E4" s="814"/>
      <c r="F4" s="814"/>
      <c r="G4" s="814"/>
      <c r="H4" s="814"/>
      <c r="I4" s="815"/>
    </row>
    <row r="5" spans="2:9" ht="56.25" customHeight="1" x14ac:dyDescent="0.45">
      <c r="B5" s="813" t="s">
        <v>1</v>
      </c>
      <c r="C5" s="814"/>
      <c r="D5" s="814"/>
      <c r="E5" s="814"/>
      <c r="F5" s="814"/>
      <c r="G5" s="814"/>
      <c r="H5" s="814"/>
      <c r="I5" s="815"/>
    </row>
    <row r="6" spans="2:9" ht="24.75" customHeight="1" x14ac:dyDescent="0.45">
      <c r="B6" s="813"/>
      <c r="C6" s="814"/>
      <c r="D6" s="814"/>
      <c r="E6" s="814"/>
      <c r="F6" s="814"/>
      <c r="G6" s="814"/>
      <c r="H6" s="814"/>
      <c r="I6" s="815"/>
    </row>
    <row r="7" spans="2:9" ht="58.5" customHeight="1" thickBot="1" x14ac:dyDescent="0.5">
      <c r="B7" s="816" t="s">
        <v>527</v>
      </c>
      <c r="C7" s="817"/>
      <c r="D7" s="817"/>
      <c r="E7" s="817"/>
      <c r="F7" s="817"/>
      <c r="G7" s="817"/>
      <c r="H7" s="817"/>
      <c r="I7" s="818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09">
        <v>2024</v>
      </c>
      <c r="C9" s="809"/>
      <c r="D9" s="809"/>
      <c r="E9" s="809"/>
      <c r="F9" s="809"/>
      <c r="G9" s="809"/>
      <c r="H9" s="809"/>
      <c r="I9" s="809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Z32" sqref="Z3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3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864" t="s">
        <v>516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3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H5" s="88" t="s">
        <v>46</v>
      </c>
      <c r="AI5" s="89">
        <f>meta3!AB2</f>
        <v>7</v>
      </c>
      <c r="AJ5" s="6"/>
      <c r="AK5" s="5"/>
      <c r="AL5" s="5"/>
      <c r="AR5" s="138" t="s">
        <v>86</v>
      </c>
      <c r="AS5" s="138"/>
    </row>
    <row r="6" spans="1:53" ht="52.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907">
        <f>+NOMBRE!$B$9</f>
        <v>2024</v>
      </c>
      <c r="Y6" s="908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6" t="s">
        <v>88</v>
      </c>
      <c r="AR6" s="906"/>
      <c r="AS6" s="906"/>
    </row>
    <row r="7" spans="1:53" ht="85.5" customHeight="1" thickBot="1" x14ac:dyDescent="0.3">
      <c r="G7" s="58"/>
      <c r="H7" s="909" t="s">
        <v>466</v>
      </c>
      <c r="I7" s="910"/>
      <c r="J7" s="910"/>
      <c r="K7" s="910"/>
      <c r="L7" s="910"/>
      <c r="M7" s="910"/>
      <c r="N7" s="910"/>
      <c r="O7" s="910"/>
      <c r="P7" s="910"/>
      <c r="Q7" s="910"/>
      <c r="R7" s="910"/>
      <c r="S7" s="910"/>
      <c r="T7" s="910"/>
      <c r="U7" s="911"/>
      <c r="V7" s="139" t="s">
        <v>89</v>
      </c>
      <c r="W7" s="871"/>
      <c r="X7" s="12" t="s">
        <v>11</v>
      </c>
      <c r="Y7" s="12" t="s">
        <v>463</v>
      </c>
      <c r="Z7" s="14" t="s">
        <v>13</v>
      </c>
      <c r="AA7" s="14" t="s">
        <v>503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92" t="s">
        <v>486</v>
      </c>
      <c r="AR7" s="92" t="s">
        <v>487</v>
      </c>
      <c r="AS7" s="92" t="s">
        <v>488</v>
      </c>
      <c r="AT7" s="140"/>
      <c r="AU7" s="140"/>
      <c r="AW7" s="141"/>
      <c r="AX7" s="142"/>
      <c r="AY7" s="142"/>
      <c r="AZ7" s="142"/>
      <c r="BA7" s="142"/>
    </row>
    <row r="8" spans="1:53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648"/>
      <c r="X8" s="483">
        <f>indicadores!E24</f>
        <v>0.1</v>
      </c>
      <c r="Y8" s="493">
        <f>indicadores!$D$54</f>
        <v>0.5</v>
      </c>
      <c r="Z8" s="442"/>
      <c r="AA8" s="779">
        <v>4.4000000000000004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447"/>
      <c r="AR8" s="448"/>
      <c r="AS8" s="449"/>
      <c r="AT8" s="450"/>
      <c r="AU8" s="450"/>
      <c r="AW8" s="141"/>
      <c r="AX8" s="142"/>
      <c r="AY8" s="142"/>
      <c r="AZ8" s="142"/>
      <c r="BA8" s="142"/>
    </row>
    <row r="9" spans="1:53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175</v>
      </c>
      <c r="V9" s="68">
        <f>AS9</f>
        <v>10002.477999999999</v>
      </c>
      <c r="W9" s="506">
        <f>IF(V9=0,0,+U9/V9)</f>
        <v>1.7495664574318486E-2</v>
      </c>
      <c r="X9" s="519">
        <f>$X$8</f>
        <v>0.1</v>
      </c>
      <c r="Y9" s="37">
        <f>+X9*$Y$8</f>
        <v>0.05</v>
      </c>
      <c r="Z9" s="755">
        <f t="shared" ref="Z9:Z16" si="0">IF(+W9/Y9&gt;1,1,+W9/Y9)</f>
        <v>0.34991329148636968</v>
      </c>
      <c r="AA9" s="71">
        <f>+Z9*$AA$8/100</f>
        <v>1.5396184825400267E-2</v>
      </c>
      <c r="AB9" s="737">
        <f>X9</f>
        <v>0.1</v>
      </c>
      <c r="AC9" s="146">
        <f>(AG9/AE9)</f>
        <v>1.7495664574318486E-2</v>
      </c>
      <c r="AD9" s="147">
        <f>AC9/AB9</f>
        <v>0.17495664574318484</v>
      </c>
      <c r="AE9" s="97">
        <f>V9</f>
        <v>10002.477999999999</v>
      </c>
      <c r="AF9" s="98">
        <f>AE9*AB9</f>
        <v>1000.2478</v>
      </c>
      <c r="AG9" s="97">
        <f>U9</f>
        <v>175</v>
      </c>
      <c r="AH9" s="98">
        <f>AF9/$AI$4</f>
        <v>83.353983333333332</v>
      </c>
      <c r="AI9" s="98">
        <f>AH9*$AI$5</f>
        <v>583.47788333333335</v>
      </c>
      <c r="AJ9" s="98">
        <f>U9</f>
        <v>175</v>
      </c>
      <c r="AK9" s="99">
        <f>AJ9/AI9</f>
        <v>0.29992567841688828</v>
      </c>
      <c r="AL9" s="429">
        <f>(AI9-AJ9)*-1</f>
        <v>-408.47788333333335</v>
      </c>
      <c r="AP9" s="143"/>
      <c r="AQ9" s="723">
        <f>SUM('[1]INSCRITA PERCAPITA 2024'!$AZ$34:$BH$34)</f>
        <v>11048.477999999999</v>
      </c>
      <c r="AR9" s="725">
        <f>REMP!R6</f>
        <v>1046</v>
      </c>
      <c r="AS9" s="722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206</v>
      </c>
      <c r="V10" s="73">
        <f t="shared" ref="V10:V15" si="2">AS10</f>
        <v>6145</v>
      </c>
      <c r="W10" s="507">
        <f t="shared" ref="W10:W16" si="3">IF(V10=0,0,+U10/V10)</f>
        <v>3.3523189585028479E-2</v>
      </c>
      <c r="X10" s="520">
        <f t="shared" ref="X10:X16" si="4">$X$8</f>
        <v>0.1</v>
      </c>
      <c r="Y10" s="42">
        <f t="shared" ref="Y10:Y16" si="5">+X10*$Y$8</f>
        <v>0.05</v>
      </c>
      <c r="Z10" s="756">
        <f t="shared" si="0"/>
        <v>0.67046379170056958</v>
      </c>
      <c r="AA10" s="77">
        <f t="shared" ref="AA10:AA15" si="6">+Z10*$AA$8/100</f>
        <v>2.9500406834825067E-2</v>
      </c>
      <c r="AB10" s="737">
        <f t="shared" ref="AB10:AB16" si="7">X10</f>
        <v>0.1</v>
      </c>
      <c r="AC10" s="146">
        <f t="shared" ref="AC10:AC16" si="8">(AG10/AE10)</f>
        <v>3.3523189585028479E-2</v>
      </c>
      <c r="AD10" s="147">
        <f t="shared" ref="AD10:AD16" si="9">AC10/AB10</f>
        <v>0.33523189585028479</v>
      </c>
      <c r="AE10" s="97">
        <f t="shared" ref="AE10:AE16" si="10">V10</f>
        <v>6145</v>
      </c>
      <c r="AF10" s="98">
        <f t="shared" ref="AF10:AF16" si="11">AE10*AB10</f>
        <v>614.5</v>
      </c>
      <c r="AG10" s="97">
        <f t="shared" ref="AG10:AG16" si="12">U10</f>
        <v>206</v>
      </c>
      <c r="AH10" s="98">
        <f t="shared" ref="AH10:AH16" si="13">AF10/$AI$4</f>
        <v>51.208333333333336</v>
      </c>
      <c r="AI10" s="98">
        <f t="shared" ref="AI10:AI16" si="14">AH10*$AI$5</f>
        <v>358.45833333333337</v>
      </c>
      <c r="AJ10" s="98">
        <f t="shared" ref="AJ10:AJ16" si="15">U10</f>
        <v>206</v>
      </c>
      <c r="AK10" s="99">
        <f t="shared" ref="AK10:AK16" si="16">AJ10/AI10</f>
        <v>0.57468325002905962</v>
      </c>
      <c r="AL10" s="429">
        <f t="shared" ref="AL10:AL16" si="17">(AI10-AJ10)*-1</f>
        <v>-152.45833333333337</v>
      </c>
      <c r="AP10" s="143"/>
      <c r="AQ10" s="713">
        <f>SUM('[1]INSCRITA PERCAPITA 2024'!$AZ$35:$BH$35)</f>
        <v>6703</v>
      </c>
      <c r="AR10" s="724">
        <f>REMP!R7</f>
        <v>558</v>
      </c>
      <c r="AS10" s="721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228</v>
      </c>
      <c r="V11" s="73">
        <f t="shared" si="2"/>
        <v>4239</v>
      </c>
      <c r="W11" s="507">
        <f t="shared" si="3"/>
        <v>5.3786270346779901E-2</v>
      </c>
      <c r="X11" s="520">
        <f t="shared" si="4"/>
        <v>0.1</v>
      </c>
      <c r="Y11" s="42">
        <f t="shared" si="5"/>
        <v>0.05</v>
      </c>
      <c r="Z11" s="756">
        <f t="shared" si="0"/>
        <v>1</v>
      </c>
      <c r="AA11" s="77">
        <f t="shared" si="6"/>
        <v>4.4000000000000004E-2</v>
      </c>
      <c r="AB11" s="737">
        <f t="shared" si="7"/>
        <v>0.1</v>
      </c>
      <c r="AC11" s="146">
        <f t="shared" si="8"/>
        <v>5.3786270346779901E-2</v>
      </c>
      <c r="AD11" s="147">
        <f t="shared" si="9"/>
        <v>0.53786270346779896</v>
      </c>
      <c r="AE11" s="97">
        <f t="shared" si="10"/>
        <v>4239</v>
      </c>
      <c r="AF11" s="98">
        <f t="shared" si="11"/>
        <v>423.90000000000003</v>
      </c>
      <c r="AG11" s="97">
        <f t="shared" si="12"/>
        <v>228</v>
      </c>
      <c r="AH11" s="98">
        <f t="shared" si="13"/>
        <v>35.325000000000003</v>
      </c>
      <c r="AI11" s="98">
        <f t="shared" si="14"/>
        <v>247.27500000000003</v>
      </c>
      <c r="AJ11" s="98">
        <f t="shared" si="15"/>
        <v>228</v>
      </c>
      <c r="AK11" s="99">
        <f t="shared" si="16"/>
        <v>0.92205034880194103</v>
      </c>
      <c r="AL11" s="429">
        <f t="shared" si="17"/>
        <v>-19.275000000000034</v>
      </c>
      <c r="AP11" s="143"/>
      <c r="AQ11" s="713">
        <f>SUM('[1]INSCRITA PERCAPITA 2024'!$AZ$38:$BH$38)</f>
        <v>4580</v>
      </c>
      <c r="AR11" s="724">
        <f>REMP!R8</f>
        <v>341</v>
      </c>
      <c r="AS11" s="721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139</v>
      </c>
      <c r="V12" s="73">
        <f t="shared" si="2"/>
        <v>4504.0760000000009</v>
      </c>
      <c r="W12" s="507">
        <f t="shared" si="3"/>
        <v>3.0860935739094982E-2</v>
      </c>
      <c r="X12" s="520">
        <f t="shared" si="4"/>
        <v>0.1</v>
      </c>
      <c r="Y12" s="42">
        <f t="shared" si="5"/>
        <v>0.05</v>
      </c>
      <c r="Z12" s="756">
        <f t="shared" si="0"/>
        <v>0.6172187147818996</v>
      </c>
      <c r="AA12" s="77">
        <f t="shared" si="6"/>
        <v>2.7157623450403581E-2</v>
      </c>
      <c r="AB12" s="737">
        <f t="shared" si="7"/>
        <v>0.1</v>
      </c>
      <c r="AC12" s="146">
        <f t="shared" si="8"/>
        <v>3.0860935739094982E-2</v>
      </c>
      <c r="AD12" s="147">
        <f t="shared" si="9"/>
        <v>0.3086093573909498</v>
      </c>
      <c r="AE12" s="97">
        <f t="shared" si="10"/>
        <v>4504.0760000000009</v>
      </c>
      <c r="AF12" s="98">
        <f t="shared" si="11"/>
        <v>450.40760000000012</v>
      </c>
      <c r="AG12" s="97">
        <f t="shared" si="12"/>
        <v>139</v>
      </c>
      <c r="AH12" s="98">
        <f t="shared" si="13"/>
        <v>37.533966666666679</v>
      </c>
      <c r="AI12" s="98">
        <f t="shared" si="14"/>
        <v>262.73776666666674</v>
      </c>
      <c r="AJ12" s="98">
        <f t="shared" si="15"/>
        <v>139</v>
      </c>
      <c r="AK12" s="99">
        <f t="shared" si="16"/>
        <v>0.52904461267019964</v>
      </c>
      <c r="AL12" s="429">
        <f t="shared" si="17"/>
        <v>-123.73776666666674</v>
      </c>
      <c r="AP12" s="143"/>
      <c r="AQ12" s="713">
        <f>SUM('[1]INSCRITA PERCAPITA 2024'!$AZ$37:$BH$37)</f>
        <v>5028.0760000000009</v>
      </c>
      <c r="AR12" s="724">
        <f>REMP!R9</f>
        <v>524</v>
      </c>
      <c r="AS12" s="721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199</v>
      </c>
      <c r="V13" s="73">
        <f t="shared" si="2"/>
        <v>4815</v>
      </c>
      <c r="W13" s="507">
        <f t="shared" si="3"/>
        <v>4.1329179646936658E-2</v>
      </c>
      <c r="X13" s="520">
        <f t="shared" si="4"/>
        <v>0.1</v>
      </c>
      <c r="Y13" s="42">
        <f t="shared" si="5"/>
        <v>0.05</v>
      </c>
      <c r="Z13" s="756">
        <f t="shared" si="0"/>
        <v>0.82658359293873307</v>
      </c>
      <c r="AA13" s="77">
        <f t="shared" si="6"/>
        <v>3.6369678089304254E-2</v>
      </c>
      <c r="AB13" s="737">
        <f t="shared" si="7"/>
        <v>0.1</v>
      </c>
      <c r="AC13" s="146">
        <f t="shared" si="8"/>
        <v>4.1329179646936658E-2</v>
      </c>
      <c r="AD13" s="147">
        <f t="shared" si="9"/>
        <v>0.41329179646936653</v>
      </c>
      <c r="AE13" s="97">
        <f t="shared" si="10"/>
        <v>4815</v>
      </c>
      <c r="AF13" s="98">
        <f t="shared" si="11"/>
        <v>481.5</v>
      </c>
      <c r="AG13" s="97">
        <f t="shared" si="12"/>
        <v>199</v>
      </c>
      <c r="AH13" s="98">
        <f t="shared" si="13"/>
        <v>40.125</v>
      </c>
      <c r="AI13" s="98">
        <f t="shared" si="14"/>
        <v>280.875</v>
      </c>
      <c r="AJ13" s="98">
        <f t="shared" si="15"/>
        <v>199</v>
      </c>
      <c r="AK13" s="99">
        <f t="shared" si="16"/>
        <v>0.70850022251891409</v>
      </c>
      <c r="AL13" s="429">
        <f t="shared" si="17"/>
        <v>-81.875</v>
      </c>
      <c r="AP13" s="143"/>
      <c r="AQ13" s="713">
        <f>SUM('[1]INSCRITA PERCAPITA 2024'!$AZ$36:$BH$36)</f>
        <v>5349</v>
      </c>
      <c r="AR13" s="724">
        <f>REMP!R10</f>
        <v>534</v>
      </c>
      <c r="AS13" s="721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10</v>
      </c>
      <c r="V14" s="73">
        <f t="shared" si="2"/>
        <v>117.52199999999996</v>
      </c>
      <c r="W14" s="507">
        <f t="shared" si="3"/>
        <v>8.5090451149572019E-2</v>
      </c>
      <c r="X14" s="520">
        <f t="shared" si="4"/>
        <v>0.1</v>
      </c>
      <c r="Y14" s="42">
        <f t="shared" si="5"/>
        <v>0.05</v>
      </c>
      <c r="Z14" s="756">
        <f t="shared" si="0"/>
        <v>1</v>
      </c>
      <c r="AA14" s="77">
        <f t="shared" si="6"/>
        <v>4.4000000000000004E-2</v>
      </c>
      <c r="AB14" s="737">
        <f t="shared" si="7"/>
        <v>0.1</v>
      </c>
      <c r="AC14" s="146">
        <f t="shared" si="8"/>
        <v>8.5090451149572019E-2</v>
      </c>
      <c r="AD14" s="147">
        <f t="shared" si="9"/>
        <v>0.85090451149572011</v>
      </c>
      <c r="AE14" s="97">
        <f t="shared" si="10"/>
        <v>117.52199999999996</v>
      </c>
      <c r="AF14" s="98">
        <f t="shared" si="11"/>
        <v>11.752199999999997</v>
      </c>
      <c r="AG14" s="97">
        <f t="shared" si="12"/>
        <v>10</v>
      </c>
      <c r="AH14" s="98">
        <f t="shared" si="13"/>
        <v>0.97934999999999972</v>
      </c>
      <c r="AI14" s="98">
        <f t="shared" si="14"/>
        <v>6.8554499999999976</v>
      </c>
      <c r="AJ14" s="98">
        <f t="shared" si="15"/>
        <v>10</v>
      </c>
      <c r="AK14" s="99">
        <f t="shared" si="16"/>
        <v>1.4586934482783775</v>
      </c>
      <c r="AL14" s="429">
        <f t="shared" si="17"/>
        <v>3.1445500000000024</v>
      </c>
      <c r="AP14" s="143"/>
      <c r="AQ14" s="713">
        <f>SUM('[1]INSCRITA PERCAPITA 2024'!$AZ$39:$BH$39)</f>
        <v>145.52199999999996</v>
      </c>
      <c r="AR14" s="724">
        <f>REMP!R11</f>
        <v>28</v>
      </c>
      <c r="AS14" s="721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REMA!S12</f>
        <v>1</v>
      </c>
      <c r="J15" s="114">
        <f>REMA!T12</f>
        <v>0</v>
      </c>
      <c r="K15" s="114">
        <f>REMA!U12</f>
        <v>2</v>
      </c>
      <c r="L15" s="114">
        <f>REMA!V12</f>
        <v>1</v>
      </c>
      <c r="M15" s="114">
        <f>REMA!W12</f>
        <v>0</v>
      </c>
      <c r="N15" s="114">
        <f>REMA!X12</f>
        <v>3</v>
      </c>
      <c r="O15" s="114">
        <f>REMA!Y12</f>
        <v>5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12</v>
      </c>
      <c r="V15" s="114">
        <f t="shared" si="2"/>
        <v>1187.9240000000002</v>
      </c>
      <c r="W15" s="508">
        <f t="shared" si="3"/>
        <v>1.0101656334917046E-2</v>
      </c>
      <c r="X15" s="662">
        <f t="shared" si="4"/>
        <v>0.1</v>
      </c>
      <c r="Y15" s="55">
        <f t="shared" si="5"/>
        <v>0.05</v>
      </c>
      <c r="Z15" s="757">
        <f t="shared" si="0"/>
        <v>0.20203312669834092</v>
      </c>
      <c r="AA15" s="77">
        <f t="shared" si="6"/>
        <v>8.8894575747270003E-3</v>
      </c>
      <c r="AB15" s="759">
        <f t="shared" si="7"/>
        <v>0.1</v>
      </c>
      <c r="AC15" s="542">
        <f t="shared" si="8"/>
        <v>1.0101656334917046E-2</v>
      </c>
      <c r="AD15" s="543">
        <f t="shared" si="9"/>
        <v>0.10101656334917046</v>
      </c>
      <c r="AE15" s="97">
        <f t="shared" si="10"/>
        <v>1187.9240000000002</v>
      </c>
      <c r="AF15" s="98">
        <f t="shared" si="11"/>
        <v>118.79240000000003</v>
      </c>
      <c r="AG15" s="97">
        <f t="shared" si="12"/>
        <v>12</v>
      </c>
      <c r="AH15" s="98">
        <f t="shared" si="13"/>
        <v>9.8993666666666691</v>
      </c>
      <c r="AI15" s="98">
        <f t="shared" si="14"/>
        <v>69.295566666666687</v>
      </c>
      <c r="AJ15" s="98">
        <f t="shared" si="15"/>
        <v>12</v>
      </c>
      <c r="AK15" s="544">
        <f t="shared" si="16"/>
        <v>0.17317125145572079</v>
      </c>
      <c r="AL15" s="429">
        <f t="shared" si="17"/>
        <v>-57.295566666666687</v>
      </c>
      <c r="AP15" s="143"/>
      <c r="AQ15" s="720">
        <f>SUM('[1]INSCRITA PERCAPITA 2024'!$AZ$40:$BH$40)</f>
        <v>1326.9240000000002</v>
      </c>
      <c r="AR15" s="714">
        <f>REMP!R12</f>
        <v>139</v>
      </c>
      <c r="AS15" s="726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155</v>
      </c>
      <c r="J16" s="85">
        <f t="shared" ref="J16:T16" si="19">SUM(J9:J15)</f>
        <v>74</v>
      </c>
      <c r="K16" s="85">
        <f t="shared" si="19"/>
        <v>62</v>
      </c>
      <c r="L16" s="85">
        <f t="shared" si="19"/>
        <v>157</v>
      </c>
      <c r="M16" s="85">
        <f t="shared" si="19"/>
        <v>137</v>
      </c>
      <c r="N16" s="85">
        <f t="shared" si="19"/>
        <v>162</v>
      </c>
      <c r="O16" s="85">
        <f t="shared" si="19"/>
        <v>222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969</v>
      </c>
      <c r="V16" s="86">
        <f>SUM(V9:V15)</f>
        <v>31011</v>
      </c>
      <c r="W16" s="692">
        <f t="shared" si="3"/>
        <v>3.1246976879171908E-2</v>
      </c>
      <c r="X16" s="509">
        <f t="shared" si="4"/>
        <v>0.1</v>
      </c>
      <c r="Y16" s="509">
        <f t="shared" si="5"/>
        <v>0.05</v>
      </c>
      <c r="Z16" s="758">
        <f t="shared" si="0"/>
        <v>0.62493953758343812</v>
      </c>
      <c r="AA16" s="511">
        <f>+Z16*$AA$8/100</f>
        <v>2.7497339653671279E-2</v>
      </c>
      <c r="AB16" s="760">
        <f t="shared" si="7"/>
        <v>0.1</v>
      </c>
      <c r="AC16" s="545">
        <f t="shared" si="8"/>
        <v>3.1246976879171908E-2</v>
      </c>
      <c r="AD16" s="546">
        <f t="shared" si="9"/>
        <v>0.31246976879171906</v>
      </c>
      <c r="AE16" s="547">
        <f t="shared" si="10"/>
        <v>31011</v>
      </c>
      <c r="AF16" s="548">
        <f t="shared" si="11"/>
        <v>3101.1000000000004</v>
      </c>
      <c r="AG16" s="547">
        <f t="shared" si="12"/>
        <v>969</v>
      </c>
      <c r="AH16" s="762">
        <f t="shared" si="13"/>
        <v>258.42500000000001</v>
      </c>
      <c r="AI16" s="547">
        <f t="shared" si="14"/>
        <v>1808.9750000000001</v>
      </c>
      <c r="AJ16" s="547">
        <f t="shared" si="15"/>
        <v>969</v>
      </c>
      <c r="AK16" s="549">
        <f t="shared" si="16"/>
        <v>0.53566246078580404</v>
      </c>
      <c r="AL16" s="429">
        <f t="shared" si="17"/>
        <v>-839.97500000000014</v>
      </c>
      <c r="AP16" s="143"/>
      <c r="AQ16" s="807">
        <f>SUM(AQ9:AQ15)</f>
        <v>34181</v>
      </c>
      <c r="AR16" s="808">
        <f>SUM(AR9:AR15)</f>
        <v>3170</v>
      </c>
      <c r="AS16" s="712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2"/>
      <c r="AC17" s="122"/>
      <c r="AP17" s="143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60" zoomScaleNormal="60" workbookViewId="0">
      <selection activeCell="O12" sqref="O12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3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5" width="5.85546875" style="5" bestFit="1" customWidth="1"/>
    <col min="16" max="16" width="5.2851562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477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7</v>
      </c>
      <c r="AJ5" s="6"/>
      <c r="AL5" s="5"/>
    </row>
    <row r="6" spans="1:39" ht="77.2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61" t="s">
        <v>5</v>
      </c>
      <c r="W6" s="870" t="s">
        <v>6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9.75" thickBot="1" x14ac:dyDescent="0.3">
      <c r="G7" s="606" t="s">
        <v>431</v>
      </c>
      <c r="H7" s="876" t="s">
        <v>91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92</v>
      </c>
      <c r="W7" s="871"/>
      <c r="X7" s="12" t="s">
        <v>11</v>
      </c>
      <c r="Y7" s="12" t="s">
        <v>43</v>
      </c>
      <c r="Z7" s="14" t="s">
        <v>13</v>
      </c>
      <c r="AA7" s="14" t="s">
        <v>44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50.25" customHeight="1" thickBot="1" x14ac:dyDescent="0.3">
      <c r="G8" s="438"/>
      <c r="H8" s="439"/>
      <c r="I8" s="464" t="s">
        <v>189</v>
      </c>
      <c r="J8" s="465" t="s">
        <v>190</v>
      </c>
      <c r="K8" s="465" t="s">
        <v>191</v>
      </c>
      <c r="L8" s="465" t="s">
        <v>192</v>
      </c>
      <c r="M8" s="465" t="s">
        <v>193</v>
      </c>
      <c r="N8" s="465" t="s">
        <v>194</v>
      </c>
      <c r="O8" s="465" t="s">
        <v>195</v>
      </c>
      <c r="P8" s="465" t="s">
        <v>196</v>
      </c>
      <c r="Q8" s="465" t="s">
        <v>423</v>
      </c>
      <c r="R8" s="465" t="s">
        <v>198</v>
      </c>
      <c r="S8" s="465" t="s">
        <v>199</v>
      </c>
      <c r="T8" s="465" t="s">
        <v>200</v>
      </c>
      <c r="U8" s="425" t="s">
        <v>201</v>
      </c>
      <c r="V8" s="481"/>
      <c r="W8" s="648"/>
      <c r="X8" s="483">
        <f>indicadores!E25</f>
        <v>0.39</v>
      </c>
      <c r="Y8" s="483">
        <f>indicadores!$D$54</f>
        <v>0.5</v>
      </c>
      <c r="Z8" s="474"/>
      <c r="AA8" s="474"/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0</v>
      </c>
      <c r="Q9" s="79">
        <f>REMA!AT6</f>
        <v>0</v>
      </c>
      <c r="R9" s="79">
        <f>REMA!AU6</f>
        <v>0</v>
      </c>
      <c r="S9" s="79">
        <f>REMA!AV6</f>
        <v>0</v>
      </c>
      <c r="T9" s="79">
        <f>REMA!AW6</f>
        <v>0</v>
      </c>
      <c r="U9" s="479">
        <f>SUM(I9:T9)</f>
        <v>1490</v>
      </c>
      <c r="V9" s="80">
        <f>Poblacion2024!Q6</f>
        <v>9256.0860000000011</v>
      </c>
      <c r="W9" s="45">
        <f>IF(V9=0,0,+U9/V9)</f>
        <v>0.16097516812181734</v>
      </c>
      <c r="X9" s="46">
        <f>$X$8</f>
        <v>0.39</v>
      </c>
      <c r="Y9" s="46">
        <f>+X9*$Y$8</f>
        <v>0.19500000000000001</v>
      </c>
      <c r="Z9" s="145">
        <f t="shared" ref="Z9:Z16" si="0">IF(+W9/Y9&gt;1,1,+W9/Y9)</f>
        <v>0.82551368267598635</v>
      </c>
      <c r="AA9" s="77">
        <f>+Z9*6.82/100</f>
        <v>5.6300033158502273E-2</v>
      </c>
      <c r="AB9" s="146">
        <f>X9</f>
        <v>0.39</v>
      </c>
      <c r="AC9" s="146">
        <f>(AG9/AE9)</f>
        <v>0.16097516812181734</v>
      </c>
      <c r="AD9" s="147">
        <f>AC9/AB9</f>
        <v>0.41275684133799317</v>
      </c>
      <c r="AE9" s="499">
        <f>V9</f>
        <v>9256.0860000000011</v>
      </c>
      <c r="AF9" s="500">
        <f>AE9*AB9</f>
        <v>3609.8735400000005</v>
      </c>
      <c r="AG9" s="499">
        <f>U9</f>
        <v>1490</v>
      </c>
      <c r="AH9" s="500">
        <f>AF9/$AI$4</f>
        <v>300.82279500000004</v>
      </c>
      <c r="AI9" s="500">
        <f>AH9*$AI$5</f>
        <v>2105.7595650000003</v>
      </c>
      <c r="AJ9" s="500">
        <f>U9</f>
        <v>1490</v>
      </c>
      <c r="AK9" s="99">
        <f>AJ9/AI9</f>
        <v>0.70758315657941684</v>
      </c>
      <c r="AL9" s="429">
        <f>(AI9-AJ9)*-1</f>
        <v>-615.75956500000029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0</v>
      </c>
      <c r="Q10" s="73">
        <f>REMA!AT7</f>
        <v>0</v>
      </c>
      <c r="R10" s="73">
        <f>REMA!AU7</f>
        <v>0</v>
      </c>
      <c r="S10" s="73">
        <f>REMA!AV7</f>
        <v>0</v>
      </c>
      <c r="T10" s="73">
        <f>REMA!AW7</f>
        <v>0</v>
      </c>
      <c r="U10" s="479">
        <f t="shared" ref="U10:U15" si="1">SUM(I10:T10)</f>
        <v>707</v>
      </c>
      <c r="V10" s="74">
        <f>Poblacion2024!Q7</f>
        <v>4292</v>
      </c>
      <c r="W10" s="40">
        <f t="shared" ref="W10:W16" si="2">IF(V10=0,0,+U10/V10)</f>
        <v>0.1647250698974837</v>
      </c>
      <c r="X10" s="42">
        <f t="shared" ref="X10:X16" si="3">$X$8</f>
        <v>0.39</v>
      </c>
      <c r="Y10" s="46">
        <f t="shared" ref="Y10:Y16" si="4">+X10*$Y$8</f>
        <v>0.19500000000000001</v>
      </c>
      <c r="Z10" s="113">
        <f t="shared" si="0"/>
        <v>0.84474394819222409</v>
      </c>
      <c r="AA10" s="77">
        <f t="shared" ref="AA10:AA16" si="5">+Z10*6.25/100</f>
        <v>5.2796496762014006E-2</v>
      </c>
      <c r="AB10" s="146">
        <f t="shared" ref="AB10:AB16" si="6">X10</f>
        <v>0.39</v>
      </c>
      <c r="AC10" s="146">
        <f t="shared" ref="AC10:AC16" si="7">(AG10/AE10)</f>
        <v>0.1647250698974837</v>
      </c>
      <c r="AD10" s="147">
        <f t="shared" ref="AD10:AD16" si="8">AC10/AB10</f>
        <v>0.42237197409611205</v>
      </c>
      <c r="AE10" s="499">
        <f t="shared" ref="AE10:AE16" si="9">V10</f>
        <v>4292</v>
      </c>
      <c r="AF10" s="500">
        <f t="shared" ref="AF10:AF16" si="10">AE10*AB10</f>
        <v>1673.88</v>
      </c>
      <c r="AG10" s="499">
        <f t="shared" ref="AG10:AG16" si="11">U10</f>
        <v>707</v>
      </c>
      <c r="AH10" s="500">
        <f t="shared" ref="AH10:AH16" si="12">AF10/$AI$4</f>
        <v>139.49</v>
      </c>
      <c r="AI10" s="500">
        <f t="shared" ref="AI10:AI16" si="13">AH10*$AI$5</f>
        <v>976.43000000000006</v>
      </c>
      <c r="AJ10" s="500">
        <f t="shared" ref="AJ10:AJ16" si="14">U10</f>
        <v>707</v>
      </c>
      <c r="AK10" s="99">
        <f t="shared" ref="AK10:AK16" si="15">AJ10/AI10</f>
        <v>0.72406624130762054</v>
      </c>
      <c r="AL10" s="429">
        <f t="shared" ref="AL10:AL16" si="16">(AI10-AJ10)*-1</f>
        <v>-269.43000000000006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0</v>
      </c>
      <c r="Q11" s="73">
        <f>REMA!AT8</f>
        <v>0</v>
      </c>
      <c r="R11" s="73">
        <f>REMA!AU8</f>
        <v>0</v>
      </c>
      <c r="S11" s="73">
        <f>REMA!AV8</f>
        <v>0</v>
      </c>
      <c r="T11" s="73">
        <f>REMA!AW8</f>
        <v>0</v>
      </c>
      <c r="U11" s="479">
        <f t="shared" si="1"/>
        <v>631</v>
      </c>
      <c r="V11" s="74">
        <f>Poblacion2024!Q8</f>
        <v>2583</v>
      </c>
      <c r="W11" s="40">
        <f t="shared" si="2"/>
        <v>0.24428958575300039</v>
      </c>
      <c r="X11" s="42">
        <f t="shared" si="3"/>
        <v>0.39</v>
      </c>
      <c r="Y11" s="46">
        <f t="shared" si="4"/>
        <v>0.19500000000000001</v>
      </c>
      <c r="Z11" s="113">
        <f t="shared" si="0"/>
        <v>1</v>
      </c>
      <c r="AA11" s="77">
        <f t="shared" si="5"/>
        <v>6.25E-2</v>
      </c>
      <c r="AB11" s="146">
        <f t="shared" si="6"/>
        <v>0.39</v>
      </c>
      <c r="AC11" s="146">
        <f t="shared" si="7"/>
        <v>0.24428958575300039</v>
      </c>
      <c r="AD11" s="147">
        <f t="shared" si="8"/>
        <v>0.62638355321282146</v>
      </c>
      <c r="AE11" s="499">
        <f t="shared" si="9"/>
        <v>2583</v>
      </c>
      <c r="AF11" s="500">
        <f t="shared" si="10"/>
        <v>1007.37</v>
      </c>
      <c r="AG11" s="499">
        <f t="shared" si="11"/>
        <v>631</v>
      </c>
      <c r="AH11" s="500">
        <f t="shared" si="12"/>
        <v>83.947500000000005</v>
      </c>
      <c r="AI11" s="500">
        <f t="shared" si="13"/>
        <v>587.63250000000005</v>
      </c>
      <c r="AJ11" s="500">
        <f t="shared" si="14"/>
        <v>631</v>
      </c>
      <c r="AK11" s="99">
        <f t="shared" si="15"/>
        <v>1.0738003769362654</v>
      </c>
      <c r="AL11" s="429">
        <f t="shared" si="16"/>
        <v>43.36749999999995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0</v>
      </c>
      <c r="Q12" s="73">
        <f>REMA!AT9</f>
        <v>0</v>
      </c>
      <c r="R12" s="73">
        <f>REMA!AU9</f>
        <v>0</v>
      </c>
      <c r="S12" s="73">
        <f>REMA!AV9</f>
        <v>0</v>
      </c>
      <c r="T12" s="73">
        <f>REMA!AW9</f>
        <v>0</v>
      </c>
      <c r="U12" s="479">
        <f t="shared" si="1"/>
        <v>625</v>
      </c>
      <c r="V12" s="74">
        <f>Poblacion2024!Q9</f>
        <v>2876.8032000000003</v>
      </c>
      <c r="W12" s="40">
        <f t="shared" si="2"/>
        <v>0.21725504198549275</v>
      </c>
      <c r="X12" s="42">
        <f t="shared" si="3"/>
        <v>0.39</v>
      </c>
      <c r="Y12" s="46">
        <f t="shared" si="4"/>
        <v>0.19500000000000001</v>
      </c>
      <c r="Z12" s="113">
        <f t="shared" si="0"/>
        <v>1</v>
      </c>
      <c r="AA12" s="77">
        <f t="shared" si="5"/>
        <v>6.25E-2</v>
      </c>
      <c r="AB12" s="146">
        <f t="shared" si="6"/>
        <v>0.39</v>
      </c>
      <c r="AC12" s="146">
        <f t="shared" si="7"/>
        <v>0.21725504198549275</v>
      </c>
      <c r="AD12" s="147">
        <f t="shared" si="8"/>
        <v>0.55706421021921215</v>
      </c>
      <c r="AE12" s="499">
        <f t="shared" si="9"/>
        <v>2876.8032000000003</v>
      </c>
      <c r="AF12" s="500">
        <f t="shared" si="10"/>
        <v>1121.9532480000003</v>
      </c>
      <c r="AG12" s="499">
        <f t="shared" si="11"/>
        <v>625</v>
      </c>
      <c r="AH12" s="500">
        <f t="shared" si="12"/>
        <v>93.496104000000017</v>
      </c>
      <c r="AI12" s="500">
        <f t="shared" si="13"/>
        <v>654.47272800000007</v>
      </c>
      <c r="AJ12" s="500">
        <f t="shared" si="14"/>
        <v>625</v>
      </c>
      <c r="AK12" s="99">
        <f t="shared" si="15"/>
        <v>0.95496721751864955</v>
      </c>
      <c r="AL12" s="429">
        <f t="shared" si="16"/>
        <v>-29.472728000000075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0</v>
      </c>
      <c r="Q13" s="73">
        <f>REMA!AT10</f>
        <v>0</v>
      </c>
      <c r="R13" s="73">
        <f>REMA!AU10</f>
        <v>0</v>
      </c>
      <c r="S13" s="73">
        <f>REMA!AV10</f>
        <v>0</v>
      </c>
      <c r="T13" s="73">
        <f>REMA!AW10</f>
        <v>0</v>
      </c>
      <c r="U13" s="479">
        <f t="shared" si="1"/>
        <v>662</v>
      </c>
      <c r="V13" s="74">
        <f>Poblacion2024!Q10</f>
        <v>2707</v>
      </c>
      <c r="W13" s="40">
        <f t="shared" si="2"/>
        <v>0.24455116364979682</v>
      </c>
      <c r="X13" s="42">
        <f t="shared" si="3"/>
        <v>0.39</v>
      </c>
      <c r="Y13" s="46">
        <f t="shared" si="4"/>
        <v>0.19500000000000001</v>
      </c>
      <c r="Z13" s="113">
        <f t="shared" si="0"/>
        <v>1</v>
      </c>
      <c r="AA13" s="77">
        <f t="shared" si="5"/>
        <v>6.25E-2</v>
      </c>
      <c r="AB13" s="146">
        <f t="shared" si="6"/>
        <v>0.39</v>
      </c>
      <c r="AC13" s="146">
        <f t="shared" si="7"/>
        <v>0.24455116364979682</v>
      </c>
      <c r="AD13" s="147">
        <f t="shared" si="8"/>
        <v>0.62705426576870971</v>
      </c>
      <c r="AE13" s="499">
        <f t="shared" si="9"/>
        <v>2707</v>
      </c>
      <c r="AF13" s="500">
        <f t="shared" si="10"/>
        <v>1055.73</v>
      </c>
      <c r="AG13" s="499">
        <f t="shared" si="11"/>
        <v>662</v>
      </c>
      <c r="AH13" s="500">
        <f t="shared" si="12"/>
        <v>87.977500000000006</v>
      </c>
      <c r="AI13" s="500">
        <f t="shared" si="13"/>
        <v>615.84250000000009</v>
      </c>
      <c r="AJ13" s="500">
        <f t="shared" si="14"/>
        <v>662</v>
      </c>
      <c r="AK13" s="99">
        <f t="shared" si="15"/>
        <v>1.0749501698892165</v>
      </c>
      <c r="AL13" s="429">
        <f t="shared" si="16"/>
        <v>46.157499999999914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0</v>
      </c>
      <c r="Q14" s="73">
        <f>REMA!AT11</f>
        <v>0</v>
      </c>
      <c r="R14" s="73">
        <f>REMA!AU11</f>
        <v>0</v>
      </c>
      <c r="S14" s="73">
        <f>REMA!AV11</f>
        <v>0</v>
      </c>
      <c r="T14" s="73">
        <f>REMA!AW11</f>
        <v>0</v>
      </c>
      <c r="U14" s="479">
        <f t="shared" si="1"/>
        <v>59</v>
      </c>
      <c r="V14" s="74">
        <f>Poblacion2024!Q11</f>
        <v>121.91399999999999</v>
      </c>
      <c r="W14" s="40">
        <f t="shared" si="2"/>
        <v>0.48394770083829591</v>
      </c>
      <c r="X14" s="42">
        <f t="shared" si="3"/>
        <v>0.39</v>
      </c>
      <c r="Y14" s="46">
        <f t="shared" si="4"/>
        <v>0.19500000000000001</v>
      </c>
      <c r="Z14" s="113">
        <f t="shared" si="0"/>
        <v>1</v>
      </c>
      <c r="AA14" s="77">
        <f t="shared" si="5"/>
        <v>6.25E-2</v>
      </c>
      <c r="AB14" s="146">
        <f t="shared" si="6"/>
        <v>0.39</v>
      </c>
      <c r="AC14" s="146">
        <f t="shared" si="7"/>
        <v>0.48394770083829591</v>
      </c>
      <c r="AD14" s="147">
        <f t="shared" si="8"/>
        <v>1.240891540611015</v>
      </c>
      <c r="AE14" s="499">
        <f t="shared" si="9"/>
        <v>121.91399999999999</v>
      </c>
      <c r="AF14" s="500">
        <f t="shared" si="10"/>
        <v>47.546459999999996</v>
      </c>
      <c r="AG14" s="499">
        <f t="shared" si="11"/>
        <v>59</v>
      </c>
      <c r="AH14" s="500">
        <f t="shared" si="12"/>
        <v>3.9622049999999995</v>
      </c>
      <c r="AI14" s="500">
        <f t="shared" si="13"/>
        <v>27.735434999999995</v>
      </c>
      <c r="AJ14" s="500">
        <f t="shared" si="14"/>
        <v>59</v>
      </c>
      <c r="AK14" s="99">
        <f t="shared" si="15"/>
        <v>2.1272426410474545</v>
      </c>
      <c r="AL14" s="429">
        <f t="shared" si="16"/>
        <v>31.264565000000005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REMA!AL12</f>
        <v>0</v>
      </c>
      <c r="J15" s="114">
        <f>REMA!AM12</f>
        <v>0</v>
      </c>
      <c r="K15" s="114">
        <f>REMA!AN12</f>
        <v>0</v>
      </c>
      <c r="L15" s="114">
        <f>REMA!AO12</f>
        <v>0</v>
      </c>
      <c r="M15" s="114">
        <f>REMA!AP12</f>
        <v>0</v>
      </c>
      <c r="N15" s="114">
        <f>REMA!AQ12</f>
        <v>0</v>
      </c>
      <c r="O15" s="114">
        <f>REMA!AR12</f>
        <v>0</v>
      </c>
      <c r="P15" s="114">
        <f>REMA!AS12</f>
        <v>0</v>
      </c>
      <c r="Q15" s="114">
        <f>REMA!AT12</f>
        <v>0</v>
      </c>
      <c r="R15" s="114">
        <f>REMA!AU12</f>
        <v>0</v>
      </c>
      <c r="S15" s="114">
        <f>REMA!AV12</f>
        <v>0</v>
      </c>
      <c r="T15" s="114">
        <f>REMA!AW12</f>
        <v>0</v>
      </c>
      <c r="U15" s="600">
        <f t="shared" si="1"/>
        <v>0</v>
      </c>
      <c r="V15" s="115">
        <f>Poblacion2024!Q12</f>
        <v>759.19680000000005</v>
      </c>
      <c r="W15" s="54">
        <f t="shared" si="2"/>
        <v>0</v>
      </c>
      <c r="X15" s="55">
        <f t="shared" si="3"/>
        <v>0.39</v>
      </c>
      <c r="Y15" s="46">
        <f t="shared" si="4"/>
        <v>0.19500000000000001</v>
      </c>
      <c r="Z15" s="116">
        <f t="shared" si="0"/>
        <v>0</v>
      </c>
      <c r="AA15" s="77">
        <f t="shared" si="5"/>
        <v>0</v>
      </c>
      <c r="AB15" s="542">
        <f t="shared" si="6"/>
        <v>0.39</v>
      </c>
      <c r="AC15" s="542">
        <f t="shared" si="7"/>
        <v>0</v>
      </c>
      <c r="AD15" s="543">
        <f t="shared" si="8"/>
        <v>0</v>
      </c>
      <c r="AE15" s="601">
        <f t="shared" si="9"/>
        <v>759.19680000000005</v>
      </c>
      <c r="AF15" s="602">
        <f t="shared" si="10"/>
        <v>296.08675200000005</v>
      </c>
      <c r="AG15" s="601">
        <f t="shared" si="11"/>
        <v>0</v>
      </c>
      <c r="AH15" s="500">
        <f t="shared" si="12"/>
        <v>24.673896000000003</v>
      </c>
      <c r="AI15" s="602">
        <f t="shared" si="13"/>
        <v>172.71727200000001</v>
      </c>
      <c r="AJ15" s="602">
        <f t="shared" si="14"/>
        <v>0</v>
      </c>
      <c r="AK15" s="544">
        <f t="shared" si="15"/>
        <v>0</v>
      </c>
      <c r="AL15" s="429">
        <f t="shared" si="16"/>
        <v>-172.71727200000001</v>
      </c>
    </row>
    <row r="16" spans="1:39" ht="18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>SUM(I9:I15)</f>
        <v>769</v>
      </c>
      <c r="J16" s="85">
        <f t="shared" ref="J16:T16" si="17">SUM(J9:J15)</f>
        <v>354</v>
      </c>
      <c r="K16" s="85">
        <f t="shared" si="17"/>
        <v>360</v>
      </c>
      <c r="L16" s="85">
        <f t="shared" si="17"/>
        <v>607</v>
      </c>
      <c r="M16" s="85">
        <f t="shared" si="17"/>
        <v>639</v>
      </c>
      <c r="N16" s="85">
        <f t="shared" si="17"/>
        <v>668</v>
      </c>
      <c r="O16" s="85">
        <f t="shared" si="17"/>
        <v>777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603">
        <f>SUM(U9:U15)</f>
        <v>4174</v>
      </c>
      <c r="V16" s="539">
        <f>SUM(V9:V15)</f>
        <v>22596.000000000004</v>
      </c>
      <c r="W16" s="478">
        <f t="shared" si="2"/>
        <v>0.18472295981589659</v>
      </c>
      <c r="X16" s="509">
        <f t="shared" si="3"/>
        <v>0.39</v>
      </c>
      <c r="Y16" s="46">
        <f t="shared" si="4"/>
        <v>0.19500000000000001</v>
      </c>
      <c r="Z16" s="510">
        <f t="shared" si="0"/>
        <v>0.94729722982511066</v>
      </c>
      <c r="AA16" s="511">
        <f t="shared" si="5"/>
        <v>5.9206076864069417E-2</v>
      </c>
      <c r="AB16" s="545">
        <f t="shared" si="6"/>
        <v>0.39</v>
      </c>
      <c r="AC16" s="545">
        <f t="shared" si="7"/>
        <v>0.18472295981589659</v>
      </c>
      <c r="AD16" s="546">
        <f t="shared" si="8"/>
        <v>0.47364861491255533</v>
      </c>
      <c r="AE16" s="604">
        <f t="shared" si="9"/>
        <v>22596.000000000004</v>
      </c>
      <c r="AF16" s="605">
        <f t="shared" si="10"/>
        <v>8812.4400000000023</v>
      </c>
      <c r="AG16" s="604">
        <f t="shared" si="11"/>
        <v>4174</v>
      </c>
      <c r="AH16" s="500">
        <f t="shared" si="12"/>
        <v>734.37000000000023</v>
      </c>
      <c r="AI16" s="604">
        <f t="shared" si="13"/>
        <v>5140.590000000002</v>
      </c>
      <c r="AJ16" s="604">
        <f t="shared" si="14"/>
        <v>4174</v>
      </c>
      <c r="AK16" s="549">
        <f t="shared" si="15"/>
        <v>0.811969054135809</v>
      </c>
      <c r="AL16" s="429">
        <f t="shared" si="16"/>
        <v>-966.59000000000196</v>
      </c>
    </row>
    <row r="17" spans="3:24" x14ac:dyDescent="0.25">
      <c r="C17" s="64"/>
      <c r="D17" s="65"/>
      <c r="X17" s="57"/>
    </row>
    <row r="28" spans="3:24" x14ac:dyDescent="0.25">
      <c r="E28" s="148" t="s">
        <v>93</v>
      </c>
      <c r="F28" s="149" t="s">
        <v>94</v>
      </c>
    </row>
    <row r="29" spans="3:24" x14ac:dyDescent="0.25">
      <c r="E29" s="150">
        <v>107307</v>
      </c>
      <c r="F29" s="151" t="s">
        <v>95</v>
      </c>
    </row>
    <row r="30" spans="3:24" x14ac:dyDescent="0.25">
      <c r="E30" s="150">
        <v>107308</v>
      </c>
      <c r="F30" s="151" t="s">
        <v>96</v>
      </c>
    </row>
    <row r="31" spans="3:24" x14ac:dyDescent="0.25">
      <c r="E31" s="150">
        <v>107353</v>
      </c>
      <c r="F31" s="151" t="s">
        <v>97</v>
      </c>
    </row>
    <row r="32" spans="3:24" x14ac:dyDescent="0.25">
      <c r="E32" s="150">
        <v>107356</v>
      </c>
      <c r="F32" s="151" t="s">
        <v>98</v>
      </c>
    </row>
    <row r="33" spans="5:6" x14ac:dyDescent="0.25">
      <c r="E33" s="150">
        <v>107357</v>
      </c>
      <c r="F33" s="151" t="s">
        <v>99</v>
      </c>
    </row>
    <row r="34" spans="5:6" x14ac:dyDescent="0.25">
      <c r="E34" s="150">
        <v>107400</v>
      </c>
      <c r="F34" s="151" t="s">
        <v>100</v>
      </c>
    </row>
    <row r="35" spans="5:6" x14ac:dyDescent="0.25">
      <c r="E35" s="152">
        <v>107756</v>
      </c>
      <c r="F35" s="153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Y36" sqref="Y3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864" t="s">
        <v>476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912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38" ht="23.25" customHeight="1" thickBot="1" x14ac:dyDescent="0.3">
      <c r="G5" s="58"/>
      <c r="H5" s="913"/>
      <c r="I5" s="914"/>
      <c r="J5" s="914"/>
      <c r="K5" s="914"/>
      <c r="L5" s="914"/>
      <c r="M5" s="914"/>
      <c r="N5" s="914"/>
      <c r="O5" s="914"/>
      <c r="P5" s="914"/>
      <c r="Q5" s="914"/>
      <c r="R5" s="914"/>
      <c r="S5" s="914"/>
      <c r="T5" s="914"/>
      <c r="U5" s="914"/>
      <c r="V5" s="914"/>
      <c r="W5" s="914"/>
      <c r="X5" s="914"/>
      <c r="Y5" s="914"/>
      <c r="Z5" s="915"/>
      <c r="AA5" s="5"/>
      <c r="AB5" s="5"/>
      <c r="AD5" s="6"/>
      <c r="AF5" s="5"/>
      <c r="AG5" s="88" t="s">
        <v>46</v>
      </c>
      <c r="AH5" s="89">
        <f>meta3!AB2</f>
        <v>7</v>
      </c>
      <c r="AI5" s="6"/>
      <c r="AK5" s="5"/>
    </row>
    <row r="6" spans="1:38" ht="57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" t="s">
        <v>5</v>
      </c>
      <c r="V6" s="870" t="s">
        <v>6</v>
      </c>
      <c r="W6" s="872">
        <f>+NOMBRE!$B$9</f>
        <v>2024</v>
      </c>
      <c r="X6" s="873"/>
      <c r="Y6" s="874" t="s">
        <v>7</v>
      </c>
      <c r="Z6" s="875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158.25" customHeight="1" thickBot="1" x14ac:dyDescent="0.3">
      <c r="G7" s="606" t="s">
        <v>431</v>
      </c>
      <c r="H7" s="916" t="s">
        <v>102</v>
      </c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7"/>
      <c r="U7" s="11" t="s">
        <v>103</v>
      </c>
      <c r="V7" s="871"/>
      <c r="W7" s="12" t="s">
        <v>11</v>
      </c>
      <c r="X7" s="12" t="s">
        <v>43</v>
      </c>
      <c r="Y7" s="14" t="s">
        <v>13</v>
      </c>
      <c r="Z7" s="14" t="s">
        <v>504</v>
      </c>
      <c r="AA7" s="91" t="s">
        <v>57</v>
      </c>
      <c r="AB7" s="91" t="s">
        <v>58</v>
      </c>
      <c r="AC7" s="494" t="s">
        <v>59</v>
      </c>
      <c r="AD7" s="498" t="s">
        <v>60</v>
      </c>
      <c r="AE7" s="498" t="s">
        <v>61</v>
      </c>
      <c r="AF7" s="498" t="s">
        <v>62</v>
      </c>
      <c r="AG7" s="498" t="s">
        <v>63</v>
      </c>
      <c r="AH7" s="498" t="s">
        <v>64</v>
      </c>
      <c r="AI7" s="498" t="s">
        <v>65</v>
      </c>
      <c r="AJ7" s="496" t="s">
        <v>66</v>
      </c>
      <c r="AK7" s="93" t="s">
        <v>67</v>
      </c>
    </row>
    <row r="8" spans="1:38" ht="48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11"/>
      <c r="V8" s="441"/>
      <c r="W8" s="652">
        <f>indicadores!E26</f>
        <v>0.95</v>
      </c>
      <c r="X8" s="652">
        <f>indicadores!$D$54</f>
        <v>0.5</v>
      </c>
      <c r="Y8" s="442"/>
      <c r="Z8" s="442">
        <v>5.49</v>
      </c>
      <c r="AA8" s="94" t="s">
        <v>68</v>
      </c>
      <c r="AB8" s="94" t="s">
        <v>69</v>
      </c>
      <c r="AC8" s="94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94" t="s">
        <v>77</v>
      </c>
      <c r="AK8" s="94" t="s">
        <v>78</v>
      </c>
    </row>
    <row r="9" spans="1:38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0</v>
      </c>
      <c r="P9" s="68">
        <f>REMA!CJ6</f>
        <v>0</v>
      </c>
      <c r="Q9" s="68">
        <f>REMA!CK6</f>
        <v>0</v>
      </c>
      <c r="R9" s="68">
        <f>REMA!CL6</f>
        <v>0</v>
      </c>
      <c r="S9" s="68">
        <f>REMA!CM6</f>
        <v>0</v>
      </c>
      <c r="T9" s="484">
        <f>SUM(H9:S9)</f>
        <v>126</v>
      </c>
      <c r="U9" s="787">
        <f>REMP!K6</f>
        <v>232</v>
      </c>
      <c r="V9" s="35">
        <f>IF(U9=0,1,+T9/U9)</f>
        <v>0.5431034482758621</v>
      </c>
      <c r="W9" s="37">
        <f>$W$8</f>
        <v>0.95</v>
      </c>
      <c r="X9" s="37">
        <f>+W9*X8</f>
        <v>0.47499999999999998</v>
      </c>
      <c r="Y9" s="110">
        <f t="shared" ref="Y9:Y16" si="0">IF(+V9/X9&gt;1,1,+V9/X9)</f>
        <v>1</v>
      </c>
      <c r="Z9" s="71">
        <f>+Y9*$Z$8/100</f>
        <v>5.4900000000000004E-2</v>
      </c>
      <c r="AA9" s="146">
        <f>W9</f>
        <v>0.95</v>
      </c>
      <c r="AB9" s="146">
        <f>(AF9/AD9)</f>
        <v>0.5431034482758621</v>
      </c>
      <c r="AC9" s="495">
        <f>AB9/AA9</f>
        <v>0.57168784029038122</v>
      </c>
      <c r="AD9" s="499">
        <f>U9</f>
        <v>232</v>
      </c>
      <c r="AE9" s="500">
        <f>AD9*AA9</f>
        <v>220.39999999999998</v>
      </c>
      <c r="AF9" s="499">
        <f>T9</f>
        <v>126</v>
      </c>
      <c r="AG9" s="500">
        <f>AE9/$AH$4</f>
        <v>18.366666666666664</v>
      </c>
      <c r="AH9" s="500">
        <f>AG9*$AH$5</f>
        <v>128.56666666666663</v>
      </c>
      <c r="AI9" s="500">
        <f>T9</f>
        <v>126</v>
      </c>
      <c r="AJ9" s="497">
        <f>AI9/AH9</f>
        <v>0.98003629764065359</v>
      </c>
      <c r="AK9" s="429">
        <f>(AH9-AI9)*-1</f>
        <v>-2.5666666666666345</v>
      </c>
    </row>
    <row r="10" spans="1:38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0</v>
      </c>
      <c r="P10" s="73">
        <f>REMA!CJ7</f>
        <v>0</v>
      </c>
      <c r="Q10" s="73">
        <f>REMA!CK7</f>
        <v>0</v>
      </c>
      <c r="R10" s="73">
        <f>REMA!CL7</f>
        <v>0</v>
      </c>
      <c r="S10" s="73">
        <f>REMA!CM7</f>
        <v>0</v>
      </c>
      <c r="T10" s="480">
        <f>SUM(H10:S10)</f>
        <v>106</v>
      </c>
      <c r="U10" s="788">
        <f>REMP!K7</f>
        <v>200</v>
      </c>
      <c r="V10" s="40">
        <f>IF(U10=0,1,+T10/U10)</f>
        <v>0.53</v>
      </c>
      <c r="W10" s="42">
        <f t="shared" ref="W10:W16" si="1">$W$8</f>
        <v>0.95</v>
      </c>
      <c r="X10" s="37">
        <f t="shared" ref="X10:X16" si="2">+W10*X9</f>
        <v>0.45124999999999998</v>
      </c>
      <c r="Y10" s="113">
        <f t="shared" si="0"/>
        <v>1</v>
      </c>
      <c r="Z10" s="71">
        <f t="shared" ref="Z10:Z16" si="3">+Y10*$Z$8/100</f>
        <v>5.4900000000000004E-2</v>
      </c>
      <c r="AA10" s="146">
        <f t="shared" ref="AA10:AA16" si="4">W10</f>
        <v>0.95</v>
      </c>
      <c r="AB10" s="146">
        <f t="shared" ref="AB10:AB16" si="5">(AF10/AD10)</f>
        <v>0.53</v>
      </c>
      <c r="AC10" s="495">
        <f t="shared" ref="AC10:AC16" si="6">AB10/AA10</f>
        <v>0.55789473684210533</v>
      </c>
      <c r="AD10" s="499">
        <f t="shared" ref="AD10:AD16" si="7">U10</f>
        <v>200</v>
      </c>
      <c r="AE10" s="500">
        <f t="shared" ref="AE10:AE16" si="8">AD10*AA10</f>
        <v>190</v>
      </c>
      <c r="AF10" s="499">
        <f t="shared" ref="AF10:AF16" si="9">T10</f>
        <v>106</v>
      </c>
      <c r="AG10" s="500">
        <f t="shared" ref="AG10:AG16" si="10">AE10/$AH$4</f>
        <v>15.833333333333334</v>
      </c>
      <c r="AH10" s="500">
        <f t="shared" ref="AH10:AH16" si="11">AG10*$AH$5</f>
        <v>110.83333333333334</v>
      </c>
      <c r="AI10" s="500">
        <f t="shared" ref="AI10:AI16" si="12">T10</f>
        <v>106</v>
      </c>
      <c r="AJ10" s="497">
        <f t="shared" ref="AJ10:AJ16" si="13">AI10/AH10</f>
        <v>0.9563909774436089</v>
      </c>
      <c r="AK10" s="429">
        <f t="shared" ref="AK10:AK16" si="14">(AH10-AI10)*-1</f>
        <v>-4.8333333333333428</v>
      </c>
    </row>
    <row r="11" spans="1:38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0</v>
      </c>
      <c r="P11" s="73">
        <f>REMA!CJ8</f>
        <v>0</v>
      </c>
      <c r="Q11" s="73">
        <f>REMA!CK8</f>
        <v>0</v>
      </c>
      <c r="R11" s="73">
        <f>REMA!CL8</f>
        <v>0</v>
      </c>
      <c r="S11" s="73">
        <f>REMA!CM8</f>
        <v>0</v>
      </c>
      <c r="T11" s="480">
        <f t="shared" ref="T11:T15" si="15">SUM(H11:S11)</f>
        <v>79</v>
      </c>
      <c r="U11" s="788">
        <f>REMP!K8</f>
        <v>145</v>
      </c>
      <c r="V11" s="40">
        <f t="shared" ref="V11:V16" si="16">IF(U11=0,1,+T11/U11)</f>
        <v>0.54482758620689653</v>
      </c>
      <c r="W11" s="42">
        <f t="shared" si="1"/>
        <v>0.95</v>
      </c>
      <c r="X11" s="37">
        <f t="shared" si="2"/>
        <v>0.42868749999999994</v>
      </c>
      <c r="Y11" s="113">
        <f t="shared" si="0"/>
        <v>1</v>
      </c>
      <c r="Z11" s="71">
        <f t="shared" si="3"/>
        <v>5.4900000000000004E-2</v>
      </c>
      <c r="AA11" s="146">
        <f t="shared" si="4"/>
        <v>0.95</v>
      </c>
      <c r="AB11" s="146">
        <f t="shared" si="5"/>
        <v>0.54482758620689653</v>
      </c>
      <c r="AC11" s="495">
        <f t="shared" si="6"/>
        <v>0.573502722323049</v>
      </c>
      <c r="AD11" s="499">
        <f t="shared" si="7"/>
        <v>145</v>
      </c>
      <c r="AE11" s="500">
        <f t="shared" si="8"/>
        <v>137.75</v>
      </c>
      <c r="AF11" s="499">
        <f t="shared" si="9"/>
        <v>79</v>
      </c>
      <c r="AG11" s="500">
        <f t="shared" si="10"/>
        <v>11.479166666666666</v>
      </c>
      <c r="AH11" s="500">
        <f t="shared" si="11"/>
        <v>80.354166666666657</v>
      </c>
      <c r="AI11" s="500">
        <f t="shared" si="12"/>
        <v>79</v>
      </c>
      <c r="AJ11" s="497">
        <f t="shared" si="13"/>
        <v>0.98314752398236982</v>
      </c>
      <c r="AK11" s="429">
        <f t="shared" si="14"/>
        <v>-1.3541666666666572</v>
      </c>
    </row>
    <row r="12" spans="1:38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0</v>
      </c>
      <c r="P12" s="73">
        <f>REMA!CJ9</f>
        <v>0</v>
      </c>
      <c r="Q12" s="73">
        <f>REMA!CK9</f>
        <v>0</v>
      </c>
      <c r="R12" s="73">
        <f>REMA!CL9</f>
        <v>0</v>
      </c>
      <c r="S12" s="73">
        <f>REMA!CM9</f>
        <v>0</v>
      </c>
      <c r="T12" s="480">
        <f t="shared" si="15"/>
        <v>84</v>
      </c>
      <c r="U12" s="788">
        <f>REMP!K9</f>
        <v>176</v>
      </c>
      <c r="V12" s="40">
        <f t="shared" si="16"/>
        <v>0.47727272727272729</v>
      </c>
      <c r="W12" s="42">
        <f t="shared" si="1"/>
        <v>0.95</v>
      </c>
      <c r="X12" s="37">
        <f t="shared" si="2"/>
        <v>0.40725312499999994</v>
      </c>
      <c r="Y12" s="113">
        <f t="shared" si="0"/>
        <v>1</v>
      </c>
      <c r="Z12" s="71">
        <f t="shared" si="3"/>
        <v>5.4900000000000004E-2</v>
      </c>
      <c r="AA12" s="146">
        <f t="shared" si="4"/>
        <v>0.95</v>
      </c>
      <c r="AB12" s="146">
        <f t="shared" si="5"/>
        <v>0.47727272727272729</v>
      </c>
      <c r="AC12" s="495">
        <f t="shared" si="6"/>
        <v>0.50239234449760772</v>
      </c>
      <c r="AD12" s="499">
        <f t="shared" si="7"/>
        <v>176</v>
      </c>
      <c r="AE12" s="500">
        <f t="shared" si="8"/>
        <v>167.2</v>
      </c>
      <c r="AF12" s="499">
        <f t="shared" si="9"/>
        <v>84</v>
      </c>
      <c r="AG12" s="500">
        <f t="shared" si="10"/>
        <v>13.933333333333332</v>
      </c>
      <c r="AH12" s="500">
        <f t="shared" si="11"/>
        <v>97.533333333333317</v>
      </c>
      <c r="AI12" s="500">
        <f t="shared" si="12"/>
        <v>84</v>
      </c>
      <c r="AJ12" s="497">
        <f t="shared" si="13"/>
        <v>0.86124401913875615</v>
      </c>
      <c r="AK12" s="429">
        <f t="shared" si="14"/>
        <v>-13.533333333333317</v>
      </c>
    </row>
    <row r="13" spans="1:38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0</v>
      </c>
      <c r="P13" s="73">
        <f>REMA!CJ10</f>
        <v>0</v>
      </c>
      <c r="Q13" s="73">
        <f>REMA!CK10</f>
        <v>0</v>
      </c>
      <c r="R13" s="73">
        <f>REMA!CL10</f>
        <v>0</v>
      </c>
      <c r="S13" s="73">
        <f>REMA!CM10</f>
        <v>0</v>
      </c>
      <c r="T13" s="480">
        <f t="shared" si="15"/>
        <v>72</v>
      </c>
      <c r="U13" s="788">
        <f>REMP!K10</f>
        <v>172</v>
      </c>
      <c r="V13" s="40">
        <f t="shared" si="16"/>
        <v>0.41860465116279072</v>
      </c>
      <c r="W13" s="42">
        <f t="shared" si="1"/>
        <v>0.95</v>
      </c>
      <c r="X13" s="37">
        <f t="shared" si="2"/>
        <v>0.38689046874999994</v>
      </c>
      <c r="Y13" s="113">
        <f t="shared" si="0"/>
        <v>1</v>
      </c>
      <c r="Z13" s="71">
        <f t="shared" si="3"/>
        <v>5.4900000000000004E-2</v>
      </c>
      <c r="AA13" s="146">
        <f t="shared" si="4"/>
        <v>0.95</v>
      </c>
      <c r="AB13" s="146">
        <f t="shared" si="5"/>
        <v>0.41860465116279072</v>
      </c>
      <c r="AC13" s="495">
        <f t="shared" si="6"/>
        <v>0.44063647490820079</v>
      </c>
      <c r="AD13" s="499">
        <f t="shared" si="7"/>
        <v>172</v>
      </c>
      <c r="AE13" s="500">
        <f t="shared" si="8"/>
        <v>163.4</v>
      </c>
      <c r="AF13" s="499">
        <f t="shared" si="9"/>
        <v>72</v>
      </c>
      <c r="AG13" s="500">
        <f t="shared" si="10"/>
        <v>13.616666666666667</v>
      </c>
      <c r="AH13" s="500">
        <f t="shared" si="11"/>
        <v>95.316666666666663</v>
      </c>
      <c r="AI13" s="500">
        <f t="shared" si="12"/>
        <v>72</v>
      </c>
      <c r="AJ13" s="497">
        <f t="shared" si="13"/>
        <v>0.75537681412834412</v>
      </c>
      <c r="AK13" s="429">
        <f t="shared" si="14"/>
        <v>-23.316666666666663</v>
      </c>
    </row>
    <row r="14" spans="1:38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0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80">
        <f t="shared" si="15"/>
        <v>1</v>
      </c>
      <c r="U14" s="788">
        <f>REMP!K11</f>
        <v>2</v>
      </c>
      <c r="V14" s="40">
        <f t="shared" si="16"/>
        <v>0.5</v>
      </c>
      <c r="W14" s="42">
        <f t="shared" si="1"/>
        <v>0.95</v>
      </c>
      <c r="X14" s="37">
        <f t="shared" si="2"/>
        <v>0.3675459453124999</v>
      </c>
      <c r="Y14" s="113">
        <f t="shared" si="0"/>
        <v>1</v>
      </c>
      <c r="Z14" s="71">
        <f t="shared" si="3"/>
        <v>5.4900000000000004E-2</v>
      </c>
      <c r="AA14" s="146">
        <f t="shared" si="4"/>
        <v>0.95</v>
      </c>
      <c r="AB14" s="146">
        <f t="shared" si="5"/>
        <v>0.5</v>
      </c>
      <c r="AC14" s="495">
        <f t="shared" si="6"/>
        <v>0.52631578947368418</v>
      </c>
      <c r="AD14" s="499">
        <f t="shared" si="7"/>
        <v>2</v>
      </c>
      <c r="AE14" s="500">
        <f t="shared" si="8"/>
        <v>1.9</v>
      </c>
      <c r="AF14" s="499">
        <f t="shared" si="9"/>
        <v>1</v>
      </c>
      <c r="AG14" s="500">
        <f t="shared" si="10"/>
        <v>0.15833333333333333</v>
      </c>
      <c r="AH14" s="500">
        <f t="shared" si="11"/>
        <v>1.1083333333333334</v>
      </c>
      <c r="AI14" s="500">
        <f t="shared" si="12"/>
        <v>1</v>
      </c>
      <c r="AJ14" s="497">
        <f t="shared" si="13"/>
        <v>0.90225563909774431</v>
      </c>
      <c r="AK14" s="429">
        <f t="shared" si="14"/>
        <v>-0.10833333333333339</v>
      </c>
    </row>
    <row r="15" spans="1:38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REMA!CB12</f>
        <v>2</v>
      </c>
      <c r="I15" s="114">
        <f>REMA!CC12</f>
        <v>0</v>
      </c>
      <c r="J15" s="114">
        <f>REMA!CD12</f>
        <v>0</v>
      </c>
      <c r="K15" s="114">
        <f>REMA!CE12</f>
        <v>8</v>
      </c>
      <c r="L15" s="114">
        <f>REMA!CF12</f>
        <v>2</v>
      </c>
      <c r="M15" s="114">
        <f>REMA!CG12</f>
        <v>3</v>
      </c>
      <c r="N15" s="114">
        <f>REMA!CH12</f>
        <v>5</v>
      </c>
      <c r="O15" s="114">
        <f>REMA!CI12</f>
        <v>0</v>
      </c>
      <c r="P15" s="114">
        <f>REMA!CJ12</f>
        <v>0</v>
      </c>
      <c r="Q15" s="114">
        <f>REMA!CK12</f>
        <v>0</v>
      </c>
      <c r="R15" s="114">
        <f>REMA!CL12</f>
        <v>0</v>
      </c>
      <c r="S15" s="114">
        <f>REMA!CM12</f>
        <v>0</v>
      </c>
      <c r="T15" s="617">
        <f t="shared" si="15"/>
        <v>20</v>
      </c>
      <c r="U15" s="789">
        <f>REMP!K12</f>
        <v>48</v>
      </c>
      <c r="V15" s="54">
        <f t="shared" si="16"/>
        <v>0.41666666666666669</v>
      </c>
      <c r="W15" s="55">
        <f t="shared" si="1"/>
        <v>0.95</v>
      </c>
      <c r="X15" s="37">
        <f t="shared" si="2"/>
        <v>0.34916864804687486</v>
      </c>
      <c r="Y15" s="116">
        <f t="shared" si="0"/>
        <v>1</v>
      </c>
      <c r="Z15" s="71">
        <f t="shared" si="3"/>
        <v>5.4900000000000004E-2</v>
      </c>
      <c r="AA15" s="542">
        <f t="shared" si="4"/>
        <v>0.95</v>
      </c>
      <c r="AB15" s="542">
        <f t="shared" si="5"/>
        <v>0.41666666666666669</v>
      </c>
      <c r="AC15" s="571">
        <f t="shared" si="6"/>
        <v>0.43859649122807021</v>
      </c>
      <c r="AD15" s="601">
        <f t="shared" si="7"/>
        <v>48</v>
      </c>
      <c r="AE15" s="602">
        <f t="shared" si="8"/>
        <v>45.599999999999994</v>
      </c>
      <c r="AF15" s="601">
        <f t="shared" si="9"/>
        <v>20</v>
      </c>
      <c r="AG15" s="602">
        <f t="shared" si="10"/>
        <v>3.7999999999999994</v>
      </c>
      <c r="AH15" s="602">
        <f t="shared" si="11"/>
        <v>26.599999999999994</v>
      </c>
      <c r="AI15" s="602">
        <f t="shared" si="12"/>
        <v>20</v>
      </c>
      <c r="AJ15" s="574">
        <f t="shared" si="13"/>
        <v>0.75187969924812048</v>
      </c>
      <c r="AK15" s="582">
        <f t="shared" si="14"/>
        <v>-6.5999999999999943</v>
      </c>
    </row>
    <row r="16" spans="1:38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71</v>
      </c>
      <c r="I16" s="85">
        <f t="shared" ref="I16:S16" si="17">SUM(I9:I15)</f>
        <v>53</v>
      </c>
      <c r="J16" s="85">
        <f t="shared" si="17"/>
        <v>84</v>
      </c>
      <c r="K16" s="85">
        <f t="shared" si="17"/>
        <v>85</v>
      </c>
      <c r="L16" s="85">
        <f t="shared" si="17"/>
        <v>49</v>
      </c>
      <c r="M16" s="85">
        <f t="shared" si="17"/>
        <v>79</v>
      </c>
      <c r="N16" s="85">
        <f t="shared" si="17"/>
        <v>67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488</v>
      </c>
      <c r="U16" s="539">
        <f>SUM(U9:U15)</f>
        <v>975</v>
      </c>
      <c r="V16" s="478">
        <f t="shared" si="16"/>
        <v>0.50051282051282053</v>
      </c>
      <c r="W16" s="509">
        <f t="shared" si="1"/>
        <v>0.95</v>
      </c>
      <c r="X16" s="509">
        <f t="shared" si="2"/>
        <v>0.33171021564453113</v>
      </c>
      <c r="Y16" s="510">
        <f t="shared" si="0"/>
        <v>1</v>
      </c>
      <c r="Z16" s="511">
        <f t="shared" si="3"/>
        <v>5.4900000000000004E-2</v>
      </c>
      <c r="AA16" s="545">
        <f t="shared" si="4"/>
        <v>0.95</v>
      </c>
      <c r="AB16" s="545">
        <f t="shared" si="5"/>
        <v>0.50051282051282053</v>
      </c>
      <c r="AC16" s="572">
        <f t="shared" si="6"/>
        <v>0.52685560053981106</v>
      </c>
      <c r="AD16" s="604">
        <f t="shared" si="7"/>
        <v>975</v>
      </c>
      <c r="AE16" s="605">
        <f t="shared" si="8"/>
        <v>926.25</v>
      </c>
      <c r="AF16" s="604">
        <f t="shared" si="9"/>
        <v>488</v>
      </c>
      <c r="AG16" s="605">
        <f t="shared" si="10"/>
        <v>77.1875</v>
      </c>
      <c r="AH16" s="605">
        <f t="shared" si="11"/>
        <v>540.3125</v>
      </c>
      <c r="AI16" s="605">
        <f t="shared" si="12"/>
        <v>488</v>
      </c>
      <c r="AJ16" s="575">
        <f t="shared" si="13"/>
        <v>0.903181029496819</v>
      </c>
      <c r="AK16" s="588">
        <f t="shared" si="14"/>
        <v>-52.3125</v>
      </c>
    </row>
    <row r="17" spans="3:28" x14ac:dyDescent="0.25">
      <c r="C17" s="64"/>
      <c r="D17" s="65"/>
      <c r="W17" s="57"/>
      <c r="AA17" s="122"/>
      <c r="AB17" s="122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tabSelected="1" zoomScale="60" zoomScaleNormal="60" workbookViewId="0">
      <selection activeCell="K10" sqref="K1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H1" s="3"/>
      <c r="AI1" s="118"/>
      <c r="AK1" s="3"/>
      <c r="AL1" s="3"/>
    </row>
    <row r="2" spans="1:40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56"/>
      <c r="AB2" s="56"/>
      <c r="AF2" s="56"/>
      <c r="AH2" s="3"/>
      <c r="AI2" s="118"/>
      <c r="AK2" s="3"/>
      <c r="AL2" s="3"/>
    </row>
    <row r="3" spans="1:40" ht="3" customHeight="1" thickBot="1" x14ac:dyDescent="0.3"/>
    <row r="4" spans="1:40" ht="15" customHeight="1" x14ac:dyDescent="0.25">
      <c r="G4" s="58"/>
      <c r="H4" s="879" t="s">
        <v>475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6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40" ht="33" customHeight="1" thickBot="1" x14ac:dyDescent="0.3">
      <c r="G5" s="58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9"/>
      <c r="AA5" s="5"/>
      <c r="AB5" s="5"/>
      <c r="AD5" s="6"/>
      <c r="AF5" s="5"/>
      <c r="AG5" s="88" t="s">
        <v>46</v>
      </c>
      <c r="AH5" s="89">
        <f>meta3!AB2</f>
        <v>7</v>
      </c>
      <c r="AI5" s="6"/>
      <c r="AK5" s="5"/>
    </row>
    <row r="6" spans="1:40" ht="25.5" customHeight="1" thickBot="1" x14ac:dyDescent="0.3">
      <c r="G6" s="58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" t="s">
        <v>5</v>
      </c>
      <c r="V6" s="870" t="s">
        <v>6</v>
      </c>
      <c r="W6" s="872">
        <f>+NOMBRE!$B$9</f>
        <v>2024</v>
      </c>
      <c r="X6" s="873"/>
      <c r="Y6" s="874" t="s">
        <v>7</v>
      </c>
      <c r="Z6" s="918"/>
      <c r="AA6" s="485" t="s">
        <v>47</v>
      </c>
      <c r="AB6" s="485" t="s">
        <v>48</v>
      </c>
      <c r="AC6" s="485" t="s">
        <v>49</v>
      </c>
      <c r="AD6" s="485" t="s">
        <v>50</v>
      </c>
      <c r="AE6" s="485" t="s">
        <v>51</v>
      </c>
      <c r="AF6" s="485" t="s">
        <v>52</v>
      </c>
      <c r="AG6" s="485" t="s">
        <v>45</v>
      </c>
      <c r="AH6" s="485" t="s">
        <v>53</v>
      </c>
      <c r="AI6" s="485" t="s">
        <v>54</v>
      </c>
      <c r="AJ6" s="485" t="s">
        <v>55</v>
      </c>
      <c r="AK6" s="485" t="s">
        <v>56</v>
      </c>
    </row>
    <row r="7" spans="1:40" ht="99.75" thickBot="1" x14ac:dyDescent="0.3">
      <c r="G7" s="606" t="s">
        <v>431</v>
      </c>
      <c r="H7" s="877" t="s">
        <v>441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8"/>
      <c r="U7" s="11" t="s">
        <v>104</v>
      </c>
      <c r="V7" s="871"/>
      <c r="W7" s="12" t="s">
        <v>11</v>
      </c>
      <c r="X7" s="493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0" ht="42.75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40"/>
      <c r="V8" s="441"/>
      <c r="W8" s="653">
        <f>indicadores!E27</f>
        <v>0.19439999999999999</v>
      </c>
      <c r="X8" s="653">
        <f>indicadores!$D$54</f>
        <v>0.5</v>
      </c>
      <c r="Y8" s="442"/>
      <c r="Z8" s="488"/>
      <c r="AA8" s="492" t="s">
        <v>68</v>
      </c>
      <c r="AB8" s="492" t="s">
        <v>69</v>
      </c>
      <c r="AC8" s="492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492" t="s">
        <v>77</v>
      </c>
      <c r="AK8" s="492" t="s">
        <v>78</v>
      </c>
    </row>
    <row r="9" spans="1:40" ht="26.2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0</v>
      </c>
      <c r="P9" s="68">
        <f>REMA!DK6</f>
        <v>0</v>
      </c>
      <c r="Q9" s="68">
        <f>REMA!DL6</f>
        <v>0</v>
      </c>
      <c r="R9" s="68">
        <f>REMA!DM6</f>
        <v>0</v>
      </c>
      <c r="S9" s="68">
        <f>REMA!DN6</f>
        <v>0</v>
      </c>
      <c r="T9" s="484">
        <f>SUM(H9:S9)</f>
        <v>231</v>
      </c>
      <c r="U9" s="86">
        <f>Poblacion2024!U6</f>
        <v>3532.473</v>
      </c>
      <c r="V9" s="35">
        <f>IF(U9=0,0,+T9/U9)</f>
        <v>6.53932811376053E-2</v>
      </c>
      <c r="W9" s="663">
        <f>$W$8</f>
        <v>0.19439999999999999</v>
      </c>
      <c r="X9" s="663">
        <f>+W9*$X$8</f>
        <v>9.7199999999999995E-2</v>
      </c>
      <c r="Y9" s="110">
        <f t="shared" ref="Y9:Y16" si="0">IF(+V9/X9&gt;1,1,+V9/X9)</f>
        <v>0.67277038207412865</v>
      </c>
      <c r="Z9" s="71">
        <f>+Y9*6.82/100</f>
        <v>4.5882940057455572E-2</v>
      </c>
      <c r="AA9" s="489">
        <f>W9</f>
        <v>0.19439999999999999</v>
      </c>
      <c r="AB9" s="489">
        <f>(AF9/AD9)</f>
        <v>6.53932811376053E-2</v>
      </c>
      <c r="AC9" s="490">
        <f>AB9/AA9</f>
        <v>0.33638519103706432</v>
      </c>
      <c r="AD9" s="486">
        <f>U9</f>
        <v>3532.473</v>
      </c>
      <c r="AE9" s="487">
        <f>AD9*AA9</f>
        <v>686.71275119999996</v>
      </c>
      <c r="AF9" s="486">
        <f>T9</f>
        <v>231</v>
      </c>
      <c r="AG9" s="487">
        <f>AE9/$AH$4</f>
        <v>57.226062599999999</v>
      </c>
      <c r="AH9" s="487">
        <f>AG9*$AH$5</f>
        <v>400.58243820000001</v>
      </c>
      <c r="AI9" s="487">
        <f>T9</f>
        <v>231</v>
      </c>
      <c r="AJ9" s="491">
        <f>AI9/AH9</f>
        <v>0.57666032749211016</v>
      </c>
      <c r="AK9" s="429">
        <f>(AH9-AI9)*-1</f>
        <v>-169.58243820000001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0</v>
      </c>
      <c r="P10" s="73">
        <f>REMA!DK7</f>
        <v>0</v>
      </c>
      <c r="Q10" s="73">
        <f>REMA!DL7</f>
        <v>0</v>
      </c>
      <c r="R10" s="73">
        <f>REMA!DM7</f>
        <v>0</v>
      </c>
      <c r="S10" s="73">
        <f>REMA!DN7</f>
        <v>0</v>
      </c>
      <c r="T10" s="480">
        <f>SUM(H10:S10)</f>
        <v>288</v>
      </c>
      <c r="U10" s="86">
        <f>Poblacion2024!U7</f>
        <v>3014</v>
      </c>
      <c r="V10" s="40">
        <f>IF(U10=0,0,+T10/U10)</f>
        <v>9.5554080955540813E-2</v>
      </c>
      <c r="W10" s="664">
        <f t="shared" ref="W10:W16" si="1">$W$8</f>
        <v>0.19439999999999999</v>
      </c>
      <c r="X10" s="664">
        <f t="shared" ref="X10:X16" si="2">+W10*$X$8</f>
        <v>9.7199999999999995E-2</v>
      </c>
      <c r="Y10" s="113">
        <f t="shared" si="0"/>
        <v>0.98306667649733348</v>
      </c>
      <c r="Z10" s="77">
        <f t="shared" ref="Z10:Z16" si="3">+Y10*6.25/100</f>
        <v>6.1441667281083336E-2</v>
      </c>
      <c r="AA10" s="146">
        <f t="shared" ref="AA10:AA16" si="4">W10</f>
        <v>0.19439999999999999</v>
      </c>
      <c r="AB10" s="146">
        <f t="shared" ref="AB10:AB16" si="5">(AF10/AD10)</f>
        <v>9.5554080955540813E-2</v>
      </c>
      <c r="AC10" s="147">
        <f t="shared" ref="AC10:AC16" si="6">AB10/AA10</f>
        <v>0.49153333824866674</v>
      </c>
      <c r="AD10" s="486">
        <f t="shared" ref="AD10:AD16" si="7">U10</f>
        <v>3014</v>
      </c>
      <c r="AE10" s="487">
        <f t="shared" ref="AE10:AE16" si="8">AD10*AA10</f>
        <v>585.92160000000001</v>
      </c>
      <c r="AF10" s="486">
        <f t="shared" ref="AF10:AF16" si="9">T10</f>
        <v>288</v>
      </c>
      <c r="AG10" s="487">
        <f t="shared" ref="AG10:AG16" si="10">AE10/$AH$4</f>
        <v>48.826799999999999</v>
      </c>
      <c r="AH10" s="487">
        <f t="shared" ref="AH10:AH16" si="11">AG10*$AH$5</f>
        <v>341.7876</v>
      </c>
      <c r="AI10" s="487">
        <f t="shared" ref="AI10:AI16" si="12">T10</f>
        <v>288</v>
      </c>
      <c r="AJ10" s="99">
        <f t="shared" ref="AJ10:AJ16" si="13">AI10/AH10</f>
        <v>0.84262857985485728</v>
      </c>
      <c r="AK10" s="429">
        <f t="shared" ref="AK10:AK16" si="14">(AH10-AI10)*-1</f>
        <v>-53.787599999999998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0</v>
      </c>
      <c r="Q11" s="73">
        <f>REMA!DL8</f>
        <v>0</v>
      </c>
      <c r="R11" s="73">
        <f>REMA!DM8</f>
        <v>0</v>
      </c>
      <c r="S11" s="73">
        <f>REMA!DN8</f>
        <v>0</v>
      </c>
      <c r="T11" s="480">
        <f t="shared" ref="T11:T15" si="15">SUM(H11:S11)</f>
        <v>166</v>
      </c>
      <c r="U11" s="654">
        <f>Poblacion2024!U8</f>
        <v>2570</v>
      </c>
      <c r="V11" s="40">
        <f t="shared" ref="V11:V16" si="16">IF(U11=0,0,+T11/U11)</f>
        <v>6.459143968871596E-2</v>
      </c>
      <c r="W11" s="664">
        <f t="shared" si="1"/>
        <v>0.19439999999999999</v>
      </c>
      <c r="X11" s="664">
        <f t="shared" si="2"/>
        <v>9.7199999999999995E-2</v>
      </c>
      <c r="Y11" s="113">
        <f t="shared" si="0"/>
        <v>0.66452098445181029</v>
      </c>
      <c r="Z11" s="77">
        <f t="shared" si="3"/>
        <v>4.153256152823815E-2</v>
      </c>
      <c r="AA11" s="146">
        <f t="shared" si="4"/>
        <v>0.19439999999999999</v>
      </c>
      <c r="AB11" s="146">
        <f t="shared" si="5"/>
        <v>6.459143968871596E-2</v>
      </c>
      <c r="AC11" s="147">
        <f t="shared" si="6"/>
        <v>0.33226049222590515</v>
      </c>
      <c r="AD11" s="486">
        <f t="shared" si="7"/>
        <v>2570</v>
      </c>
      <c r="AE11" s="487">
        <f t="shared" si="8"/>
        <v>499.60799999999995</v>
      </c>
      <c r="AF11" s="486">
        <f t="shared" si="9"/>
        <v>166</v>
      </c>
      <c r="AG11" s="487">
        <f t="shared" si="10"/>
        <v>41.633999999999993</v>
      </c>
      <c r="AH11" s="487">
        <f t="shared" si="11"/>
        <v>291.43799999999993</v>
      </c>
      <c r="AI11" s="487">
        <f t="shared" si="12"/>
        <v>166</v>
      </c>
      <c r="AJ11" s="99">
        <f t="shared" si="13"/>
        <v>0.56958941524440887</v>
      </c>
      <c r="AK11" s="429">
        <f t="shared" si="14"/>
        <v>-125.43799999999993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0</v>
      </c>
      <c r="P12" s="73">
        <f>REMA!DK9</f>
        <v>0</v>
      </c>
      <c r="Q12" s="73">
        <f>REMA!DL9</f>
        <v>0</v>
      </c>
      <c r="R12" s="73">
        <f>REMA!DM9</f>
        <v>0</v>
      </c>
      <c r="S12" s="73">
        <f>REMA!DN9</f>
        <v>0</v>
      </c>
      <c r="T12" s="480">
        <f t="shared" si="15"/>
        <v>281</v>
      </c>
      <c r="U12" s="86">
        <f>Poblacion2024!U9</f>
        <v>2713.8159999999998</v>
      </c>
      <c r="V12" s="40">
        <f t="shared" si="16"/>
        <v>0.10354423439172</v>
      </c>
      <c r="W12" s="664">
        <f t="shared" si="1"/>
        <v>0.19439999999999999</v>
      </c>
      <c r="X12" s="664">
        <f t="shared" si="2"/>
        <v>9.7199999999999995E-2</v>
      </c>
      <c r="Y12" s="113">
        <f t="shared" si="0"/>
        <v>1</v>
      </c>
      <c r="Z12" s="77">
        <f t="shared" si="3"/>
        <v>6.25E-2</v>
      </c>
      <c r="AA12" s="146">
        <f t="shared" si="4"/>
        <v>0.19439999999999999</v>
      </c>
      <c r="AB12" s="146">
        <f t="shared" si="5"/>
        <v>0.10354423439172</v>
      </c>
      <c r="AC12" s="147">
        <f t="shared" si="6"/>
        <v>0.53263495057469135</v>
      </c>
      <c r="AD12" s="486">
        <f t="shared" si="7"/>
        <v>2713.8159999999998</v>
      </c>
      <c r="AE12" s="487">
        <f t="shared" si="8"/>
        <v>527.56583039999998</v>
      </c>
      <c r="AF12" s="486">
        <f t="shared" si="9"/>
        <v>281</v>
      </c>
      <c r="AG12" s="487">
        <f t="shared" si="10"/>
        <v>43.963819199999996</v>
      </c>
      <c r="AH12" s="487">
        <f t="shared" si="11"/>
        <v>307.74673439999998</v>
      </c>
      <c r="AI12" s="487">
        <f t="shared" si="12"/>
        <v>281</v>
      </c>
      <c r="AJ12" s="99">
        <f t="shared" si="13"/>
        <v>0.91308848669947096</v>
      </c>
      <c r="AK12" s="429">
        <f t="shared" si="14"/>
        <v>-26.74673439999998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0</v>
      </c>
      <c r="P13" s="73">
        <f>REMA!DK10</f>
        <v>0</v>
      </c>
      <c r="Q13" s="73">
        <f>REMA!DL10</f>
        <v>0</v>
      </c>
      <c r="R13" s="73">
        <f>REMA!DM10</f>
        <v>0</v>
      </c>
      <c r="S13" s="73">
        <f>REMA!DN10</f>
        <v>0</v>
      </c>
      <c r="T13" s="480">
        <f t="shared" si="15"/>
        <v>248</v>
      </c>
      <c r="U13" s="86">
        <f>Poblacion2024!U10</f>
        <v>2527</v>
      </c>
      <c r="V13" s="40">
        <f t="shared" si="16"/>
        <v>9.8140087059754647E-2</v>
      </c>
      <c r="W13" s="664">
        <f t="shared" si="1"/>
        <v>0.19439999999999999</v>
      </c>
      <c r="X13" s="664">
        <f t="shared" si="2"/>
        <v>9.7199999999999995E-2</v>
      </c>
      <c r="Y13" s="113">
        <f t="shared" si="0"/>
        <v>1</v>
      </c>
      <c r="Z13" s="77">
        <f t="shared" si="3"/>
        <v>6.25E-2</v>
      </c>
      <c r="AA13" s="146">
        <f t="shared" si="4"/>
        <v>0.19439999999999999</v>
      </c>
      <c r="AB13" s="146">
        <f t="shared" si="5"/>
        <v>9.8140087059754647E-2</v>
      </c>
      <c r="AC13" s="147">
        <f t="shared" si="6"/>
        <v>0.50483583878474614</v>
      </c>
      <c r="AD13" s="486">
        <f t="shared" si="7"/>
        <v>2527</v>
      </c>
      <c r="AE13" s="487">
        <f t="shared" si="8"/>
        <v>491.24879999999996</v>
      </c>
      <c r="AF13" s="486">
        <f t="shared" si="9"/>
        <v>248</v>
      </c>
      <c r="AG13" s="487">
        <f t="shared" si="10"/>
        <v>40.937399999999997</v>
      </c>
      <c r="AH13" s="487">
        <f t="shared" si="11"/>
        <v>286.56179999999995</v>
      </c>
      <c r="AI13" s="487">
        <f t="shared" si="12"/>
        <v>248</v>
      </c>
      <c r="AJ13" s="99">
        <f t="shared" si="13"/>
        <v>0.86543286648813644</v>
      </c>
      <c r="AK13" s="429">
        <f t="shared" si="14"/>
        <v>-38.561799999999948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0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80">
        <f t="shared" si="15"/>
        <v>4</v>
      </c>
      <c r="U14" s="86">
        <f>Poblacion2024!U11</f>
        <v>46.526999999999994</v>
      </c>
      <c r="V14" s="40">
        <f t="shared" si="16"/>
        <v>8.5971586390697879E-2</v>
      </c>
      <c r="W14" s="664">
        <f t="shared" si="1"/>
        <v>0.19439999999999999</v>
      </c>
      <c r="X14" s="664">
        <f t="shared" si="2"/>
        <v>9.7199999999999995E-2</v>
      </c>
      <c r="Y14" s="113">
        <f t="shared" si="0"/>
        <v>0.88448134146808521</v>
      </c>
      <c r="Z14" s="77">
        <f t="shared" si="3"/>
        <v>5.5280083841755333E-2</v>
      </c>
      <c r="AA14" s="146">
        <f t="shared" si="4"/>
        <v>0.19439999999999999</v>
      </c>
      <c r="AB14" s="146">
        <f t="shared" si="5"/>
        <v>8.5971586390697879E-2</v>
      </c>
      <c r="AC14" s="147">
        <f t="shared" si="6"/>
        <v>0.44224067073404261</v>
      </c>
      <c r="AD14" s="486">
        <f t="shared" si="7"/>
        <v>46.526999999999994</v>
      </c>
      <c r="AE14" s="487">
        <f t="shared" si="8"/>
        <v>9.0448487999999987</v>
      </c>
      <c r="AF14" s="486">
        <f t="shared" si="9"/>
        <v>4</v>
      </c>
      <c r="AG14" s="487">
        <f t="shared" si="10"/>
        <v>0.75373739999999989</v>
      </c>
      <c r="AH14" s="487">
        <f t="shared" si="11"/>
        <v>5.2761617999999988</v>
      </c>
      <c r="AI14" s="487">
        <f t="shared" si="12"/>
        <v>4</v>
      </c>
      <c r="AJ14" s="99">
        <f t="shared" si="13"/>
        <v>0.75812686411550168</v>
      </c>
      <c r="AK14" s="429">
        <f t="shared" si="14"/>
        <v>-1.2761617999999988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REMA!DC12</f>
        <v>0</v>
      </c>
      <c r="I15" s="114">
        <f>REMA!DD12</f>
        <v>0</v>
      </c>
      <c r="J15" s="114">
        <f>REMA!DE12</f>
        <v>6</v>
      </c>
      <c r="K15" s="114">
        <f>REMA!DF12</f>
        <v>5</v>
      </c>
      <c r="L15" s="114">
        <f>REMA!DG12</f>
        <v>0</v>
      </c>
      <c r="M15" s="114">
        <f>REMA!DH12</f>
        <v>2</v>
      </c>
      <c r="N15" s="114">
        <f>REMA!DI12</f>
        <v>25</v>
      </c>
      <c r="O15" s="114">
        <f>REMA!DJ12</f>
        <v>0</v>
      </c>
      <c r="P15" s="114">
        <f>REMA!DK12</f>
        <v>0</v>
      </c>
      <c r="Q15" s="114">
        <f>REMA!DL12</f>
        <v>0</v>
      </c>
      <c r="R15" s="114">
        <f>REMA!DM12</f>
        <v>0</v>
      </c>
      <c r="S15" s="114">
        <f>REMA!DN12</f>
        <v>0</v>
      </c>
      <c r="T15" s="617">
        <f t="shared" si="15"/>
        <v>38</v>
      </c>
      <c r="U15" s="86">
        <f>Poblacion2024!U12</f>
        <v>716.18400000000008</v>
      </c>
      <c r="V15" s="54">
        <f t="shared" si="16"/>
        <v>5.305899042704109E-2</v>
      </c>
      <c r="W15" s="665">
        <f t="shared" si="1"/>
        <v>0.19439999999999999</v>
      </c>
      <c r="X15" s="665">
        <f t="shared" si="2"/>
        <v>9.7199999999999995E-2</v>
      </c>
      <c r="Y15" s="116">
        <f t="shared" si="0"/>
        <v>0.54587438710947622</v>
      </c>
      <c r="Z15" s="77">
        <f t="shared" si="3"/>
        <v>3.4117149194342264E-2</v>
      </c>
      <c r="AA15" s="542">
        <f t="shared" si="4"/>
        <v>0.19439999999999999</v>
      </c>
      <c r="AB15" s="542">
        <f t="shared" si="5"/>
        <v>5.305899042704109E-2</v>
      </c>
      <c r="AC15" s="543">
        <f t="shared" si="6"/>
        <v>0.27293719355473811</v>
      </c>
      <c r="AD15" s="486">
        <f t="shared" si="7"/>
        <v>716.18400000000008</v>
      </c>
      <c r="AE15" s="487">
        <f t="shared" si="8"/>
        <v>139.22616960000002</v>
      </c>
      <c r="AF15" s="486">
        <f t="shared" si="9"/>
        <v>38</v>
      </c>
      <c r="AG15" s="487">
        <f t="shared" si="10"/>
        <v>11.602180800000001</v>
      </c>
      <c r="AH15" s="487">
        <f t="shared" si="11"/>
        <v>81.215265600000009</v>
      </c>
      <c r="AI15" s="487">
        <f t="shared" si="12"/>
        <v>38</v>
      </c>
      <c r="AJ15" s="544">
        <f t="shared" si="13"/>
        <v>0.46789233180812251</v>
      </c>
      <c r="AK15" s="429">
        <f t="shared" si="14"/>
        <v>-43.215265600000009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90</v>
      </c>
      <c r="I16" s="85">
        <f t="shared" ref="I16:S16" si="17">SUM(I9:I15)</f>
        <v>166</v>
      </c>
      <c r="J16" s="85">
        <f t="shared" si="17"/>
        <v>102</v>
      </c>
      <c r="K16" s="85">
        <f t="shared" si="17"/>
        <v>186</v>
      </c>
      <c r="L16" s="85">
        <f t="shared" si="17"/>
        <v>211</v>
      </c>
      <c r="M16" s="85">
        <f t="shared" si="17"/>
        <v>260</v>
      </c>
      <c r="N16" s="85">
        <f t="shared" si="17"/>
        <v>241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1256</v>
      </c>
      <c r="U16" s="86">
        <f>SUM(U9:U15)</f>
        <v>15120</v>
      </c>
      <c r="V16" s="478">
        <f t="shared" si="16"/>
        <v>8.306878306878307E-2</v>
      </c>
      <c r="W16" s="675">
        <f t="shared" si="1"/>
        <v>0.19439999999999999</v>
      </c>
      <c r="X16" s="675">
        <f t="shared" si="2"/>
        <v>9.7199999999999995E-2</v>
      </c>
      <c r="Y16" s="510">
        <f t="shared" si="0"/>
        <v>0.85461710976114269</v>
      </c>
      <c r="Z16" s="511">
        <f t="shared" si="3"/>
        <v>5.3413569360071425E-2</v>
      </c>
      <c r="AA16" s="545">
        <f t="shared" si="4"/>
        <v>0.19439999999999999</v>
      </c>
      <c r="AB16" s="545">
        <f t="shared" si="5"/>
        <v>8.306878306878307E-2</v>
      </c>
      <c r="AC16" s="546">
        <f t="shared" si="6"/>
        <v>0.42730855488057135</v>
      </c>
      <c r="AD16" s="604">
        <f t="shared" si="7"/>
        <v>15120</v>
      </c>
      <c r="AE16" s="605">
        <f t="shared" si="8"/>
        <v>2939.328</v>
      </c>
      <c r="AF16" s="604">
        <f t="shared" si="9"/>
        <v>1256</v>
      </c>
      <c r="AG16" s="487">
        <f t="shared" si="10"/>
        <v>244.94399999999999</v>
      </c>
      <c r="AH16" s="605">
        <f t="shared" si="11"/>
        <v>1714.6079999999999</v>
      </c>
      <c r="AI16" s="605">
        <f t="shared" si="12"/>
        <v>1256</v>
      </c>
      <c r="AJ16" s="549">
        <f t="shared" si="13"/>
        <v>0.73252895122383666</v>
      </c>
      <c r="AK16" s="429">
        <f t="shared" si="14"/>
        <v>-458.60799999999995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V19" sqref="V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474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7</v>
      </c>
      <c r="AJ5" s="6"/>
      <c r="AL5" s="5"/>
    </row>
    <row r="6" spans="1:39" ht="51.75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5.25" customHeight="1" thickBot="1" x14ac:dyDescent="0.3">
      <c r="G7" s="606" t="s">
        <v>431</v>
      </c>
      <c r="H7" s="876" t="s">
        <v>105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106</v>
      </c>
      <c r="W7" s="871"/>
      <c r="X7" s="12" t="s">
        <v>11</v>
      </c>
      <c r="Y7" s="493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18" thickBot="1" x14ac:dyDescent="0.3">
      <c r="G8" s="438"/>
      <c r="H8" s="439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503" t="s">
        <v>201</v>
      </c>
      <c r="V8" s="440"/>
      <c r="W8" s="441"/>
      <c r="X8" s="655">
        <f>indicadores!E28</f>
        <v>0.46839999999999998</v>
      </c>
      <c r="Y8" s="652">
        <f>indicadores!$D$54</f>
        <v>0.5</v>
      </c>
      <c r="Z8" s="442"/>
      <c r="AA8" s="442">
        <v>5.49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0</v>
      </c>
      <c r="Q9" s="68">
        <f>REMC!CT6</f>
        <v>0</v>
      </c>
      <c r="R9" s="68">
        <f>REMC!CU6</f>
        <v>0</v>
      </c>
      <c r="S9" s="68">
        <f>REMC!CV6</f>
        <v>0</v>
      </c>
      <c r="T9" s="68">
        <f>REMC!CW6</f>
        <v>0</v>
      </c>
      <c r="U9" s="504">
        <f>SUM(I9:T9)</f>
        <v>1201</v>
      </c>
      <c r="V9" s="501">
        <f>Poblacion2024!W6</f>
        <v>5153.1270000000004</v>
      </c>
      <c r="W9" s="506">
        <f>IF(V9=0,0,+U9/V9)</f>
        <v>0.23306237164347005</v>
      </c>
      <c r="X9" s="656">
        <f>$X$8</f>
        <v>0.46839999999999998</v>
      </c>
      <c r="Y9" s="656">
        <f>+X9*$Y$8</f>
        <v>0.23419999999999999</v>
      </c>
      <c r="Z9" s="755">
        <f t="shared" ref="Z9:Z16" si="0">IF(+W9/Y9&gt;1,1,+W9/Y9)</f>
        <v>0.99514249207288663</v>
      </c>
      <c r="AA9" s="71">
        <f>+Z9*$AA$8/100</f>
        <v>5.4633322814801481E-2</v>
      </c>
      <c r="AB9" s="737">
        <f>X9</f>
        <v>0.46839999999999998</v>
      </c>
      <c r="AC9" s="146">
        <f>(AG9/AE9)</f>
        <v>0.23306237164347005</v>
      </c>
      <c r="AD9" s="147">
        <f>AC9/AB9</f>
        <v>0.49757124603644332</v>
      </c>
      <c r="AE9" s="97">
        <f>V9</f>
        <v>5153.1270000000004</v>
      </c>
      <c r="AF9" s="98">
        <f>AE9*AB9</f>
        <v>2413.7246868000002</v>
      </c>
      <c r="AG9" s="97">
        <f>U9</f>
        <v>1201</v>
      </c>
      <c r="AH9" s="98">
        <f>AF9/$AI$4</f>
        <v>201.14372390000003</v>
      </c>
      <c r="AI9" s="98">
        <f>AH9*$AI$5</f>
        <v>1408.0060673000003</v>
      </c>
      <c r="AJ9" s="98">
        <f>U9</f>
        <v>1201</v>
      </c>
      <c r="AK9" s="99">
        <f>AJ9/AI9</f>
        <v>0.852979278919617</v>
      </c>
      <c r="AL9" s="429">
        <f>(AI9-AJ9)*-1</f>
        <v>-207.00606730000027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0</v>
      </c>
      <c r="Q10" s="73">
        <f>REMC!CT7</f>
        <v>0</v>
      </c>
      <c r="R10" s="73">
        <f>REMC!CU7</f>
        <v>0</v>
      </c>
      <c r="S10" s="73">
        <f>REMC!CV7</f>
        <v>0</v>
      </c>
      <c r="T10" s="73">
        <f>REMC!CW7</f>
        <v>0</v>
      </c>
      <c r="U10" s="505">
        <f t="shared" ref="U10:U15" si="1">SUM(I10:T10)</f>
        <v>821</v>
      </c>
      <c r="V10" s="502">
        <f>Poblacion2024!W7</f>
        <v>4340</v>
      </c>
      <c r="W10" s="507">
        <f t="shared" ref="W10:W16" si="2">IF(V10=0,0,+U10/V10)</f>
        <v>0.18917050691244239</v>
      </c>
      <c r="X10" s="657">
        <f>$X$8</f>
        <v>0.46839999999999998</v>
      </c>
      <c r="Y10" s="657">
        <f t="shared" ref="Y10:Y16" si="3">+X10*$Y$8</f>
        <v>0.23419999999999999</v>
      </c>
      <c r="Z10" s="756">
        <f t="shared" si="0"/>
        <v>0.80773060167567201</v>
      </c>
      <c r="AA10" s="77">
        <f t="shared" ref="AA10:AA16" si="4">+Z10*$AA$8/100</f>
        <v>4.4344410031994394E-2</v>
      </c>
      <c r="AB10" s="737">
        <f t="shared" ref="AB10:AB16" si="5">X10</f>
        <v>0.46839999999999998</v>
      </c>
      <c r="AC10" s="146">
        <f t="shared" ref="AC10:AC16" si="6">(AG10/AE10)</f>
        <v>0.18917050691244239</v>
      </c>
      <c r="AD10" s="147">
        <f t="shared" ref="AD10:AD16" si="7">AC10/AB10</f>
        <v>0.40386530083783601</v>
      </c>
      <c r="AE10" s="97">
        <f t="shared" ref="AE10:AE16" si="8">V10</f>
        <v>4340</v>
      </c>
      <c r="AF10" s="98">
        <f t="shared" ref="AF10:AF16" si="9">AE10*AB10</f>
        <v>2032.856</v>
      </c>
      <c r="AG10" s="97">
        <f t="shared" ref="AG10:AG16" si="10">U10</f>
        <v>821</v>
      </c>
      <c r="AH10" s="98">
        <f t="shared" ref="AH10:AH16" si="11">AF10/$AI$4</f>
        <v>169.40466666666666</v>
      </c>
      <c r="AI10" s="98">
        <f t="shared" ref="AI10:AI16" si="12">AH10*$AI$5</f>
        <v>1185.8326666666667</v>
      </c>
      <c r="AJ10" s="98">
        <f t="shared" ref="AJ10:AJ16" si="13">U10</f>
        <v>821</v>
      </c>
      <c r="AK10" s="99">
        <f t="shared" ref="AK10:AK16" si="14">AJ10/AI10</f>
        <v>0.69234051572200461</v>
      </c>
      <c r="AL10" s="429">
        <f t="shared" ref="AL10:AL16" si="15">(AI10-AJ10)*-1</f>
        <v>-364.83266666666668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0</v>
      </c>
      <c r="Q11" s="73">
        <f>REMC!CT8</f>
        <v>0</v>
      </c>
      <c r="R11" s="73">
        <f>REMC!CU8</f>
        <v>0</v>
      </c>
      <c r="S11" s="73">
        <f>REMC!CV8</f>
        <v>0</v>
      </c>
      <c r="T11" s="73">
        <f>REMC!CW8</f>
        <v>0</v>
      </c>
      <c r="U11" s="505">
        <f t="shared" si="1"/>
        <v>840</v>
      </c>
      <c r="V11" s="502">
        <f>Poblacion2024!W8</f>
        <v>4397</v>
      </c>
      <c r="W11" s="507">
        <f t="shared" si="2"/>
        <v>0.19103934500795997</v>
      </c>
      <c r="X11" s="657">
        <f t="shared" ref="X11:X16" si="16">$X$8</f>
        <v>0.46839999999999998</v>
      </c>
      <c r="Y11" s="657">
        <f t="shared" si="3"/>
        <v>0.23419999999999999</v>
      </c>
      <c r="Z11" s="756">
        <f t="shared" si="0"/>
        <v>0.81571026903484189</v>
      </c>
      <c r="AA11" s="77">
        <f t="shared" si="4"/>
        <v>4.4782493770012824E-2</v>
      </c>
      <c r="AB11" s="737">
        <f t="shared" si="5"/>
        <v>0.46839999999999998</v>
      </c>
      <c r="AC11" s="146">
        <f t="shared" si="6"/>
        <v>0.19103934500795997</v>
      </c>
      <c r="AD11" s="147">
        <f t="shared" si="7"/>
        <v>0.40785513451742095</v>
      </c>
      <c r="AE11" s="97">
        <f t="shared" si="8"/>
        <v>4397</v>
      </c>
      <c r="AF11" s="98">
        <f t="shared" si="9"/>
        <v>2059.5547999999999</v>
      </c>
      <c r="AG11" s="97">
        <f t="shared" si="10"/>
        <v>840</v>
      </c>
      <c r="AH11" s="98">
        <f t="shared" si="11"/>
        <v>171.62956666666665</v>
      </c>
      <c r="AI11" s="98">
        <f t="shared" si="12"/>
        <v>1201.4069666666664</v>
      </c>
      <c r="AJ11" s="98">
        <f t="shared" si="13"/>
        <v>840</v>
      </c>
      <c r="AK11" s="99">
        <f t="shared" si="14"/>
        <v>0.6991802306012932</v>
      </c>
      <c r="AL11" s="429">
        <f t="shared" si="15"/>
        <v>-361.40696666666645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0</v>
      </c>
      <c r="Q12" s="73">
        <f>REMC!CT9</f>
        <v>0</v>
      </c>
      <c r="R12" s="73">
        <f>REMC!CU9</f>
        <v>0</v>
      </c>
      <c r="S12" s="73">
        <f>REMC!CV9</f>
        <v>0</v>
      </c>
      <c r="T12" s="73">
        <f>REMC!CW9</f>
        <v>0</v>
      </c>
      <c r="U12" s="505">
        <f t="shared" si="1"/>
        <v>2055</v>
      </c>
      <c r="V12" s="502">
        <f>Poblacion2024!W9</f>
        <v>4281.1831999999995</v>
      </c>
      <c r="W12" s="507">
        <f t="shared" si="2"/>
        <v>0.48000748951831829</v>
      </c>
      <c r="X12" s="657">
        <f t="shared" si="16"/>
        <v>0.46839999999999998</v>
      </c>
      <c r="Y12" s="657">
        <f t="shared" si="3"/>
        <v>0.23419999999999999</v>
      </c>
      <c r="Z12" s="756">
        <f t="shared" si="0"/>
        <v>1</v>
      </c>
      <c r="AA12" s="77">
        <f t="shared" si="4"/>
        <v>5.4900000000000004E-2</v>
      </c>
      <c r="AB12" s="737">
        <f t="shared" si="5"/>
        <v>0.46839999999999998</v>
      </c>
      <c r="AC12" s="146">
        <f t="shared" si="6"/>
        <v>0.48000748951831829</v>
      </c>
      <c r="AD12" s="147">
        <f t="shared" si="7"/>
        <v>1.0247811475625925</v>
      </c>
      <c r="AE12" s="97">
        <f t="shared" si="8"/>
        <v>4281.1831999999995</v>
      </c>
      <c r="AF12" s="98">
        <f t="shared" si="9"/>
        <v>2005.3062108799998</v>
      </c>
      <c r="AG12" s="97">
        <f t="shared" si="10"/>
        <v>2055</v>
      </c>
      <c r="AH12" s="98">
        <f t="shared" si="11"/>
        <v>167.10885090666665</v>
      </c>
      <c r="AI12" s="98">
        <f t="shared" si="12"/>
        <v>1169.7619563466665</v>
      </c>
      <c r="AJ12" s="98">
        <f t="shared" si="13"/>
        <v>2055</v>
      </c>
      <c r="AK12" s="99">
        <f t="shared" si="14"/>
        <v>1.7567676815358728</v>
      </c>
      <c r="AL12" s="429">
        <f t="shared" si="15"/>
        <v>885.23804365333353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0</v>
      </c>
      <c r="Q13" s="73">
        <f>REMC!CT10</f>
        <v>0</v>
      </c>
      <c r="R13" s="73">
        <f>REMC!CU10</f>
        <v>0</v>
      </c>
      <c r="S13" s="73">
        <f>REMC!CV10</f>
        <v>0</v>
      </c>
      <c r="T13" s="73">
        <f>REMC!CW10</f>
        <v>0</v>
      </c>
      <c r="U13" s="505">
        <f t="shared" si="1"/>
        <v>711</v>
      </c>
      <c r="V13" s="502">
        <f>Poblacion2024!W10</f>
        <v>4335</v>
      </c>
      <c r="W13" s="507">
        <f t="shared" si="2"/>
        <v>0.16401384083044981</v>
      </c>
      <c r="X13" s="657">
        <f t="shared" si="16"/>
        <v>0.46839999999999998</v>
      </c>
      <c r="Y13" s="657">
        <f t="shared" si="3"/>
        <v>0.23419999999999999</v>
      </c>
      <c r="Z13" s="756">
        <f t="shared" si="0"/>
        <v>0.7003152896261734</v>
      </c>
      <c r="AA13" s="77">
        <f t="shared" si="4"/>
        <v>3.8447309400476921E-2</v>
      </c>
      <c r="AB13" s="737">
        <f t="shared" si="5"/>
        <v>0.46839999999999998</v>
      </c>
      <c r="AC13" s="146">
        <f t="shared" si="6"/>
        <v>0.16401384083044981</v>
      </c>
      <c r="AD13" s="147">
        <f t="shared" si="7"/>
        <v>0.3501576448130867</v>
      </c>
      <c r="AE13" s="97">
        <f t="shared" si="8"/>
        <v>4335</v>
      </c>
      <c r="AF13" s="98">
        <f t="shared" si="9"/>
        <v>2030.5139999999999</v>
      </c>
      <c r="AG13" s="97">
        <f t="shared" si="10"/>
        <v>711</v>
      </c>
      <c r="AH13" s="98">
        <f t="shared" si="11"/>
        <v>169.20949999999999</v>
      </c>
      <c r="AI13" s="98">
        <f t="shared" si="12"/>
        <v>1184.4665</v>
      </c>
      <c r="AJ13" s="98">
        <f t="shared" si="13"/>
        <v>711</v>
      </c>
      <c r="AK13" s="99">
        <f t="shared" si="14"/>
        <v>0.60027024825100583</v>
      </c>
      <c r="AL13" s="429">
        <f t="shared" si="15"/>
        <v>-473.4665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0</v>
      </c>
      <c r="Q14" s="73">
        <f>REMC!CT11</f>
        <v>0</v>
      </c>
      <c r="R14" s="73">
        <f>REMC!CU11</f>
        <v>0</v>
      </c>
      <c r="S14" s="73">
        <f>REMC!CV11</f>
        <v>0</v>
      </c>
      <c r="T14" s="73">
        <f>REMC!CW11</f>
        <v>0</v>
      </c>
      <c r="U14" s="505">
        <f t="shared" si="1"/>
        <v>39</v>
      </c>
      <c r="V14" s="502">
        <f>Poblacion2024!W11</f>
        <v>67.87299999999999</v>
      </c>
      <c r="W14" s="507">
        <f t="shared" si="2"/>
        <v>0.57460256655813069</v>
      </c>
      <c r="X14" s="657">
        <f t="shared" si="16"/>
        <v>0.46839999999999998</v>
      </c>
      <c r="Y14" s="657">
        <f t="shared" si="3"/>
        <v>0.23419999999999999</v>
      </c>
      <c r="Z14" s="756">
        <f t="shared" si="0"/>
        <v>1</v>
      </c>
      <c r="AA14" s="77">
        <f t="shared" si="4"/>
        <v>5.4900000000000004E-2</v>
      </c>
      <c r="AB14" s="737">
        <f t="shared" si="5"/>
        <v>0.46839999999999998</v>
      </c>
      <c r="AC14" s="146">
        <f t="shared" si="6"/>
        <v>0.57460256655813069</v>
      </c>
      <c r="AD14" s="147">
        <f t="shared" si="7"/>
        <v>1.2267347706194081</v>
      </c>
      <c r="AE14" s="97">
        <f t="shared" si="8"/>
        <v>67.87299999999999</v>
      </c>
      <c r="AF14" s="98">
        <f t="shared" si="9"/>
        <v>31.791713199999993</v>
      </c>
      <c r="AG14" s="97">
        <f t="shared" si="10"/>
        <v>39</v>
      </c>
      <c r="AH14" s="98">
        <f t="shared" si="11"/>
        <v>2.6493094333333329</v>
      </c>
      <c r="AI14" s="98">
        <f t="shared" si="12"/>
        <v>18.545166033333331</v>
      </c>
      <c r="AJ14" s="98">
        <f t="shared" si="13"/>
        <v>39</v>
      </c>
      <c r="AK14" s="99">
        <f t="shared" si="14"/>
        <v>2.1029738924904136</v>
      </c>
      <c r="AL14" s="429">
        <f t="shared" si="15"/>
        <v>20.454833966666669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 t="e">
        <f>+REMC!#REF!</f>
        <v>#REF!</v>
      </c>
      <c r="I15" s="114">
        <f>REMC!CL12</f>
        <v>42</v>
      </c>
      <c r="J15" s="114">
        <f>REMC!CM12</f>
        <v>97</v>
      </c>
      <c r="K15" s="114">
        <f>REMC!CN12</f>
        <v>32</v>
      </c>
      <c r="L15" s="114">
        <f>REMC!CO12</f>
        <v>25</v>
      </c>
      <c r="M15" s="114">
        <f>REMC!CP12</f>
        <v>45</v>
      </c>
      <c r="N15" s="114">
        <f>REMC!CQ12</f>
        <v>27</v>
      </c>
      <c r="O15" s="114">
        <f>REMC!CR12</f>
        <v>41</v>
      </c>
      <c r="P15" s="114">
        <f>REMC!CS12</f>
        <v>0</v>
      </c>
      <c r="Q15" s="114">
        <f>REMC!CT12</f>
        <v>0</v>
      </c>
      <c r="R15" s="114">
        <f>REMC!CU12</f>
        <v>0</v>
      </c>
      <c r="S15" s="114">
        <f>REMC!CV12</f>
        <v>0</v>
      </c>
      <c r="T15" s="114">
        <f>REMC!CW12</f>
        <v>0</v>
      </c>
      <c r="U15" s="505">
        <f t="shared" si="1"/>
        <v>309</v>
      </c>
      <c r="V15" s="658">
        <f>Poblacion2024!W12</f>
        <v>1129.8168000000001</v>
      </c>
      <c r="W15" s="507">
        <f t="shared" si="2"/>
        <v>0.27349566761620114</v>
      </c>
      <c r="X15" s="659">
        <f t="shared" si="16"/>
        <v>0.46839999999999998</v>
      </c>
      <c r="Y15" s="659">
        <f t="shared" si="3"/>
        <v>0.23419999999999999</v>
      </c>
      <c r="Z15" s="757">
        <f t="shared" si="0"/>
        <v>1</v>
      </c>
      <c r="AA15" s="77">
        <f t="shared" si="4"/>
        <v>5.4900000000000004E-2</v>
      </c>
      <c r="AB15" s="759">
        <f t="shared" si="5"/>
        <v>0.46839999999999998</v>
      </c>
      <c r="AC15" s="542">
        <f t="shared" si="6"/>
        <v>0.27349566761620114</v>
      </c>
      <c r="AD15" s="543">
        <f t="shared" si="7"/>
        <v>0.58389339798505802</v>
      </c>
      <c r="AE15" s="97">
        <f t="shared" si="8"/>
        <v>1129.8168000000001</v>
      </c>
      <c r="AF15" s="98">
        <f t="shared" si="9"/>
        <v>529.20618911999998</v>
      </c>
      <c r="AG15" s="97">
        <f t="shared" si="10"/>
        <v>309</v>
      </c>
      <c r="AH15" s="98">
        <f t="shared" si="11"/>
        <v>44.10051576</v>
      </c>
      <c r="AI15" s="98">
        <f t="shared" si="12"/>
        <v>308.70361032</v>
      </c>
      <c r="AJ15" s="98">
        <f t="shared" si="13"/>
        <v>309</v>
      </c>
      <c r="AK15" s="544">
        <f t="shared" si="14"/>
        <v>1.0009601108315278</v>
      </c>
      <c r="AL15" s="582">
        <f t="shared" si="15"/>
        <v>0.29638968000000432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 t="e">
        <f>+REMC!#REF!</f>
        <v>#REF!</v>
      </c>
      <c r="I16" s="85">
        <f>SUM(I9:I15)</f>
        <v>1102</v>
      </c>
      <c r="J16" s="85">
        <f t="shared" ref="J16:T16" si="17">SUM(J9:J15)</f>
        <v>820</v>
      </c>
      <c r="K16" s="85">
        <f t="shared" si="17"/>
        <v>774</v>
      </c>
      <c r="L16" s="85">
        <f t="shared" si="17"/>
        <v>772</v>
      </c>
      <c r="M16" s="85">
        <f t="shared" si="17"/>
        <v>881</v>
      </c>
      <c r="N16" s="85">
        <f t="shared" si="17"/>
        <v>730</v>
      </c>
      <c r="O16" s="85">
        <f t="shared" si="17"/>
        <v>897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560">
        <f>SUM(U9:U15)</f>
        <v>5976</v>
      </c>
      <c r="V16" s="660">
        <f>SUM(V9:V15)</f>
        <v>23704</v>
      </c>
      <c r="W16" s="32">
        <f t="shared" si="2"/>
        <v>0.25210934863314211</v>
      </c>
      <c r="X16" s="661">
        <f t="shared" si="16"/>
        <v>0.46839999999999998</v>
      </c>
      <c r="Y16" s="661">
        <f t="shared" si="3"/>
        <v>0.23419999999999999</v>
      </c>
      <c r="Z16" s="758">
        <f t="shared" si="0"/>
        <v>1</v>
      </c>
      <c r="AA16" s="511">
        <f t="shared" si="4"/>
        <v>5.4900000000000004E-2</v>
      </c>
      <c r="AB16" s="760">
        <f t="shared" si="5"/>
        <v>0.46839999999999998</v>
      </c>
      <c r="AC16" s="545">
        <f t="shared" si="6"/>
        <v>0.25210934863314211</v>
      </c>
      <c r="AD16" s="546">
        <f t="shared" si="7"/>
        <v>0.53823515933634103</v>
      </c>
      <c r="AE16" s="547">
        <f t="shared" si="8"/>
        <v>23704</v>
      </c>
      <c r="AF16" s="548">
        <f t="shared" si="9"/>
        <v>11102.953599999999</v>
      </c>
      <c r="AG16" s="547">
        <f t="shared" si="10"/>
        <v>5976</v>
      </c>
      <c r="AH16" s="548">
        <f t="shared" si="11"/>
        <v>925.2461333333332</v>
      </c>
      <c r="AI16" s="548">
        <f t="shared" si="12"/>
        <v>6476.7229333333325</v>
      </c>
      <c r="AJ16" s="548">
        <f t="shared" si="13"/>
        <v>5976</v>
      </c>
      <c r="AK16" s="549">
        <f t="shared" si="14"/>
        <v>0.92268884457658451</v>
      </c>
      <c r="AL16" s="588">
        <f t="shared" si="15"/>
        <v>-500.72293333333255</v>
      </c>
    </row>
    <row r="17" spans="3:29" x14ac:dyDescent="0.25">
      <c r="C17" s="64"/>
      <c r="D17" s="65"/>
      <c r="X17" s="57"/>
      <c r="Y17" s="154"/>
      <c r="AB17" s="122"/>
      <c r="AC17" s="122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V18"/>
  <sheetViews>
    <sheetView zoomScale="60" zoomScaleNormal="60" workbookViewId="0">
      <selection activeCell="U17" sqref="U1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8" width="23" style="162" customWidth="1"/>
    <col min="9" max="10" width="7" style="162" hidden="1" customWidth="1"/>
    <col min="11" max="11" width="8" style="162" bestFit="1" customWidth="1"/>
    <col min="12" max="12" width="6.5703125" style="162" bestFit="1" customWidth="1"/>
    <col min="13" max="13" width="7.28515625" style="162" bestFit="1" customWidth="1"/>
    <col min="14" max="14" width="8" style="162" bestFit="1" customWidth="1"/>
    <col min="15" max="15" width="5.85546875" style="162" bestFit="1" customWidth="1"/>
    <col min="16" max="16" width="7.28515625" style="162" bestFit="1" customWidth="1"/>
    <col min="17" max="17" width="8.28515625" style="162" bestFit="1" customWidth="1"/>
    <col min="18" max="18" width="6.85546875" style="162" bestFit="1" customWidth="1"/>
    <col min="19" max="19" width="7" style="162" bestFit="1" customWidth="1"/>
    <col min="20" max="20" width="6.28515625" style="162" bestFit="1" customWidth="1"/>
    <col min="21" max="21" width="8.7109375" style="162" bestFit="1" customWidth="1"/>
    <col min="22" max="22" width="29" style="162" customWidth="1"/>
    <col min="23" max="23" width="14.85546875" style="163" customWidth="1"/>
    <col min="24" max="24" width="12.5703125" style="162" customWidth="1"/>
    <col min="25" max="25" width="14.140625" style="164" customWidth="1"/>
    <col min="26" max="26" width="16.42578125" style="162" customWidth="1"/>
    <col min="27" max="27" width="18.7109375" style="164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5" bestFit="1" customWidth="1"/>
    <col min="42" max="42" width="19.42578125" style="165" customWidth="1"/>
    <col min="43" max="43" width="18.140625" style="165" customWidth="1"/>
    <col min="44" max="44" width="14.7109375" style="165" customWidth="1"/>
    <col min="45" max="45" width="2.5703125" bestFit="1" customWidth="1"/>
    <col min="46" max="46" width="0" style="165" hidden="1" customWidth="1"/>
    <col min="47" max="47" width="7.7109375" style="165" hidden="1" customWidth="1"/>
    <col min="48" max="48" width="10.5703125" hidden="1" customWidth="1"/>
    <col min="49" max="49" width="13.42578125" hidden="1" customWidth="1"/>
    <col min="50" max="51" width="13" style="166" hidden="1" customWidth="1"/>
    <col min="52" max="52" width="14.28515625" style="105" hidden="1" customWidth="1"/>
    <col min="53" max="53" width="0" style="165" hidden="1" customWidth="1"/>
    <col min="54" max="55" width="0" style="163" hidden="1" customWidth="1"/>
    <col min="56" max="56" width="0" style="162" hidden="1" customWidth="1"/>
    <col min="57" max="57" width="0" style="163" hidden="1" customWidth="1"/>
    <col min="58" max="63" width="0" style="162" hidden="1" customWidth="1"/>
    <col min="64" max="69" width="15.42578125" style="162" hidden="1" customWidth="1"/>
    <col min="70" max="16384" width="11.42578125" style="162"/>
  </cols>
  <sheetData>
    <row r="1" spans="1:74" s="161" customFormat="1" ht="21" customHeight="1" x14ac:dyDescent="0.45">
      <c r="A1" s="2"/>
      <c r="B1" s="2"/>
      <c r="C1" s="2"/>
      <c r="D1" s="2"/>
      <c r="E1" s="3"/>
      <c r="F1" s="101"/>
      <c r="G1" s="922" t="s">
        <v>0</v>
      </c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922"/>
      <c r="AB1" s="56"/>
      <c r="AC1" s="56"/>
      <c r="AD1" s="56"/>
      <c r="AE1" s="56"/>
      <c r="AF1" s="56"/>
      <c r="AG1" s="56"/>
      <c r="AH1" s="56"/>
      <c r="AI1" s="136"/>
      <c r="AJ1" s="56"/>
      <c r="AK1" s="56"/>
      <c r="AL1" s="136"/>
      <c r="AM1" s="2"/>
      <c r="AN1" s="56"/>
      <c r="AO1" s="156"/>
      <c r="AP1" s="156"/>
      <c r="AQ1" s="156"/>
      <c r="AR1" s="156"/>
      <c r="AS1" s="157"/>
      <c r="AT1" s="156"/>
      <c r="AU1" s="156"/>
      <c r="AV1" s="157"/>
      <c r="AW1" s="157"/>
      <c r="AX1" s="158"/>
      <c r="AY1" s="158"/>
      <c r="AZ1" s="159"/>
      <c r="BA1" s="156"/>
      <c r="BB1" s="160"/>
      <c r="BC1" s="160"/>
      <c r="BE1" s="160"/>
    </row>
    <row r="2" spans="1:74" s="161" customFormat="1" ht="28.5" x14ac:dyDescent="0.45">
      <c r="A2" s="2"/>
      <c r="B2" s="2"/>
      <c r="C2" s="2"/>
      <c r="D2" s="2"/>
      <c r="E2" s="3"/>
      <c r="F2" s="101"/>
      <c r="G2" s="923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D2" s="56"/>
      <c r="AE2" s="56"/>
      <c r="AF2" s="56"/>
      <c r="AG2" s="56"/>
      <c r="AH2" s="56"/>
      <c r="AI2" s="136"/>
      <c r="AJ2" s="56"/>
      <c r="AK2" s="56"/>
      <c r="AL2" s="136"/>
      <c r="AM2" s="2"/>
      <c r="AN2" s="56"/>
      <c r="AO2" s="156"/>
      <c r="AP2" s="156"/>
      <c r="AQ2" s="156"/>
      <c r="AR2" s="156"/>
      <c r="AS2" s="157"/>
      <c r="AT2" s="156"/>
      <c r="AU2" s="156"/>
      <c r="AV2" s="157"/>
      <c r="AW2" s="157"/>
      <c r="AX2" s="158"/>
      <c r="AY2" s="158"/>
      <c r="AZ2" s="159"/>
      <c r="BA2" s="156"/>
      <c r="BB2" s="160"/>
      <c r="BC2" s="160"/>
      <c r="BE2" s="160"/>
    </row>
    <row r="3" spans="1:74" ht="3" customHeight="1" thickBot="1" x14ac:dyDescent="0.3"/>
    <row r="4" spans="1:74" ht="15" customHeight="1" x14ac:dyDescent="0.25">
      <c r="G4" s="167"/>
      <c r="H4" s="924" t="s">
        <v>473</v>
      </c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6"/>
      <c r="AB4" s="5"/>
      <c r="AC4" s="5"/>
      <c r="AD4" s="5"/>
      <c r="AE4" s="6"/>
      <c r="AF4" s="5"/>
      <c r="AG4" s="5"/>
      <c r="AH4" s="88" t="s">
        <v>45</v>
      </c>
      <c r="AI4" s="89">
        <v>12</v>
      </c>
      <c r="AJ4" s="6"/>
      <c r="AK4" s="6"/>
      <c r="AL4" s="5"/>
    </row>
    <row r="5" spans="1:74" ht="37.5" customHeight="1" thickBot="1" x14ac:dyDescent="0.35">
      <c r="G5" s="167"/>
      <c r="H5" s="927"/>
      <c r="I5" s="928"/>
      <c r="J5" s="928"/>
      <c r="K5" s="928"/>
      <c r="L5" s="928"/>
      <c r="M5" s="928"/>
      <c r="N5" s="928"/>
      <c r="O5" s="928"/>
      <c r="P5" s="928"/>
      <c r="Q5" s="928"/>
      <c r="R5" s="928"/>
      <c r="S5" s="928"/>
      <c r="T5" s="928"/>
      <c r="U5" s="928"/>
      <c r="V5" s="928"/>
      <c r="W5" s="928"/>
      <c r="X5" s="928"/>
      <c r="Y5" s="928"/>
      <c r="Z5" s="928"/>
      <c r="AA5" s="929"/>
      <c r="AB5" s="5"/>
      <c r="AC5" s="5"/>
      <c r="AD5" s="5"/>
      <c r="AE5" s="6"/>
      <c r="AF5" s="5"/>
      <c r="AG5" s="5"/>
      <c r="AH5" s="88" t="s">
        <v>46</v>
      </c>
      <c r="AI5" s="89">
        <f>meta3!AB2</f>
        <v>7</v>
      </c>
      <c r="AJ5" s="6"/>
      <c r="AK5" s="5"/>
      <c r="AL5" s="5"/>
      <c r="AQ5" s="165" t="s">
        <v>107</v>
      </c>
      <c r="AR5" s="165" t="s">
        <v>108</v>
      </c>
      <c r="AS5" s="168"/>
      <c r="AV5" s="168"/>
      <c r="AW5" s="168"/>
      <c r="AX5" s="169"/>
      <c r="AY5" s="169"/>
      <c r="AZ5" s="170"/>
    </row>
    <row r="6" spans="1:74" ht="48" customHeight="1" thickBot="1" x14ac:dyDescent="0.3">
      <c r="G6" s="167"/>
      <c r="H6" s="939" t="s">
        <v>4</v>
      </c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1"/>
      <c r="V6" s="171" t="s">
        <v>5</v>
      </c>
      <c r="W6" s="930" t="s">
        <v>6</v>
      </c>
      <c r="X6" s="932">
        <f>+NOMBRE!$B$9</f>
        <v>2024</v>
      </c>
      <c r="Y6" s="933"/>
      <c r="Z6" s="934" t="s">
        <v>7</v>
      </c>
      <c r="AA6" s="93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O6" s="919"/>
      <c r="AP6" s="919"/>
      <c r="AQ6" s="919"/>
      <c r="AR6" s="920"/>
      <c r="AS6" s="172"/>
      <c r="AV6" s="921" t="s">
        <v>109</v>
      </c>
      <c r="AW6" s="921"/>
      <c r="AX6" s="921"/>
      <c r="AY6" s="173"/>
      <c r="AZ6" s="163"/>
    </row>
    <row r="7" spans="1:74" ht="108.75" customHeight="1" thickBot="1" x14ac:dyDescent="0.3">
      <c r="G7" s="606" t="s">
        <v>431</v>
      </c>
      <c r="H7" s="936" t="s">
        <v>537</v>
      </c>
      <c r="I7" s="937"/>
      <c r="J7" s="937"/>
      <c r="K7" s="937"/>
      <c r="L7" s="937"/>
      <c r="M7" s="937"/>
      <c r="N7" s="937"/>
      <c r="O7" s="937"/>
      <c r="P7" s="937"/>
      <c r="Q7" s="937"/>
      <c r="R7" s="937"/>
      <c r="S7" s="937"/>
      <c r="T7" s="937"/>
      <c r="U7" s="938"/>
      <c r="V7" s="174" t="s">
        <v>111</v>
      </c>
      <c r="W7" s="931"/>
      <c r="X7" s="175" t="s">
        <v>11</v>
      </c>
      <c r="Y7" s="673" t="s">
        <v>43</v>
      </c>
      <c r="Z7" s="176" t="s">
        <v>13</v>
      </c>
      <c r="AA7" s="14" t="s">
        <v>112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O7" s="91" t="s">
        <v>427</v>
      </c>
      <c r="AP7" s="177"/>
      <c r="AQ7" s="91" t="s">
        <v>113</v>
      </c>
      <c r="AR7" s="91" t="s">
        <v>114</v>
      </c>
      <c r="AS7" s="172"/>
      <c r="AV7" s="178" t="s">
        <v>115</v>
      </c>
      <c r="AW7" s="178" t="s">
        <v>116</v>
      </c>
      <c r="AX7" s="179" t="s">
        <v>117</v>
      </c>
      <c r="AY7" s="179" t="s">
        <v>118</v>
      </c>
      <c r="AZ7" s="179" t="s">
        <v>119</v>
      </c>
      <c r="BL7" s="180" t="s">
        <v>120</v>
      </c>
      <c r="BM7" s="181" t="s">
        <v>121</v>
      </c>
      <c r="BN7" s="181" t="s">
        <v>122</v>
      </c>
      <c r="BO7" s="181" t="s">
        <v>123</v>
      </c>
      <c r="BR7" s="162" t="s">
        <v>428</v>
      </c>
    </row>
    <row r="8" spans="1:74" ht="24" customHeight="1" thickBot="1" x14ac:dyDescent="0.3">
      <c r="G8" s="453"/>
      <c r="H8" s="454"/>
      <c r="I8" s="512" t="s">
        <v>189</v>
      </c>
      <c r="J8" s="512" t="s">
        <v>190</v>
      </c>
      <c r="K8" s="512" t="s">
        <v>191</v>
      </c>
      <c r="L8" s="512" t="s">
        <v>192</v>
      </c>
      <c r="M8" s="512" t="s">
        <v>193</v>
      </c>
      <c r="N8" s="512" t="s">
        <v>194</v>
      </c>
      <c r="O8" s="512" t="s">
        <v>195</v>
      </c>
      <c r="P8" s="512" t="s">
        <v>196</v>
      </c>
      <c r="Q8" s="512" t="s">
        <v>423</v>
      </c>
      <c r="R8" s="512" t="s">
        <v>198</v>
      </c>
      <c r="S8" s="512" t="s">
        <v>199</v>
      </c>
      <c r="T8" s="512" t="s">
        <v>200</v>
      </c>
      <c r="U8" s="425" t="s">
        <v>201</v>
      </c>
      <c r="V8" s="455"/>
      <c r="W8" s="513"/>
      <c r="X8" s="674">
        <f>indicadores!E29</f>
        <v>0.23880000000000001</v>
      </c>
      <c r="Y8" s="673">
        <f>indicadores!$D$54</f>
        <v>0.5</v>
      </c>
      <c r="Z8" s="514"/>
      <c r="AA8" s="515">
        <v>5.27</v>
      </c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  <c r="AO8" s="512" t="s">
        <v>519</v>
      </c>
      <c r="AP8" s="512" t="s">
        <v>520</v>
      </c>
      <c r="AQ8" s="459"/>
      <c r="AR8" s="459"/>
      <c r="AS8" s="172"/>
      <c r="AV8" s="460"/>
      <c r="AW8" s="460"/>
      <c r="AX8" s="179"/>
      <c r="AY8" s="179"/>
      <c r="AZ8" s="179"/>
      <c r="BL8" s="461"/>
      <c r="BM8" s="462"/>
      <c r="BN8" s="462"/>
      <c r="BO8" s="462"/>
      <c r="BR8" s="512" t="s">
        <v>519</v>
      </c>
      <c r="BS8" s="512" t="s">
        <v>520</v>
      </c>
    </row>
    <row r="9" spans="1:74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/>
      <c r="I9" s="182"/>
      <c r="J9" s="182"/>
      <c r="K9" s="182">
        <f t="shared" ref="K9:K15" si="0">+AO9+AQ9-AR9</f>
        <v>2816</v>
      </c>
      <c r="L9" s="182"/>
      <c r="M9" s="182"/>
      <c r="N9" s="182">
        <f>BS9</f>
        <v>2858</v>
      </c>
      <c r="O9" s="182"/>
      <c r="P9" s="182"/>
      <c r="Q9" s="182"/>
      <c r="R9" s="182"/>
      <c r="S9" s="182"/>
      <c r="T9" s="182"/>
      <c r="U9" s="182">
        <f>N9</f>
        <v>2858</v>
      </c>
      <c r="V9" s="518">
        <f>Poblacion2024!Z6</f>
        <v>8302.9993200000008</v>
      </c>
      <c r="W9" s="35">
        <f>IF(V9=0,0,+N9/V9)</f>
        <v>0.34421296327409545</v>
      </c>
      <c r="X9" s="519">
        <f>$X$8</f>
        <v>0.23880000000000001</v>
      </c>
      <c r="Y9" s="519">
        <f>+X9*$Y$8</f>
        <v>0.11940000000000001</v>
      </c>
      <c r="Z9" s="110">
        <f t="shared" ref="Z9:Z15" si="1">IF(+W9/Y9&gt;1,1,+W9/Y9)</f>
        <v>1</v>
      </c>
      <c r="AA9" s="71">
        <f>(+Z9*$AA$8/100)</f>
        <v>5.2699999999999997E-2</v>
      </c>
      <c r="AB9" s="146">
        <f>X9</f>
        <v>0.23880000000000001</v>
      </c>
      <c r="AC9" s="146">
        <f>(AG9/AE9)</f>
        <v>0.34421296327409545</v>
      </c>
      <c r="AD9" s="147">
        <f>AC9/AB9</f>
        <v>1.4414278194057597</v>
      </c>
      <c r="AE9" s="499">
        <f>V9</f>
        <v>8302.9993200000008</v>
      </c>
      <c r="AF9" s="500">
        <f>AE9*AB9</f>
        <v>1982.7562376160004</v>
      </c>
      <c r="AG9" s="499">
        <f>N9</f>
        <v>2858</v>
      </c>
      <c r="AH9" s="500">
        <f>AF9/$AI$4</f>
        <v>165.22968646800004</v>
      </c>
      <c r="AI9" s="500">
        <f>AH9*$AI$5</f>
        <v>1156.6078052760004</v>
      </c>
      <c r="AJ9" s="500">
        <f t="shared" ref="AJ9:AJ15" si="2">K9</f>
        <v>2816</v>
      </c>
      <c r="AK9" s="99">
        <f>AJ9/AI9</f>
        <v>2.4347060318584139</v>
      </c>
      <c r="AL9" s="429">
        <f>(AI9-AJ9)*-1</f>
        <v>1659.3921947239996</v>
      </c>
      <c r="AM9" s="5"/>
      <c r="AN9" s="19" t="s">
        <v>95</v>
      </c>
      <c r="AO9" s="184">
        <f>REMP!J6</f>
        <v>2600</v>
      </c>
      <c r="AP9" s="184">
        <f>REMP!S6</f>
        <v>2642</v>
      </c>
      <c r="AQ9" s="144">
        <f>REMC!BV6</f>
        <v>523</v>
      </c>
      <c r="AR9" s="144">
        <f>REMC!CJ6</f>
        <v>307</v>
      </c>
      <c r="AS9" s="185"/>
      <c r="AT9" s="186"/>
      <c r="AU9" s="187">
        <v>0.16838960162052669</v>
      </c>
      <c r="AV9" s="188">
        <v>0.17</v>
      </c>
      <c r="AW9" s="189">
        <v>0.17</v>
      </c>
      <c r="AX9" s="190">
        <f>+AW9-AV9</f>
        <v>0</v>
      </c>
      <c r="AY9" s="190">
        <f>+AX9*0.5</f>
        <v>0</v>
      </c>
      <c r="AZ9" s="190">
        <f>+AY9+AV9</f>
        <v>0.17</v>
      </c>
      <c r="BA9" s="191">
        <f>+BI9</f>
        <v>0.17</v>
      </c>
      <c r="BB9" s="191">
        <v>1</v>
      </c>
      <c r="BC9" s="191">
        <v>6.2500000000000014E-2</v>
      </c>
      <c r="BD9" s="192">
        <f t="shared" ref="BD9:BE14" si="3">+BB9-Z9</f>
        <v>0</v>
      </c>
      <c r="BE9" s="192">
        <f t="shared" si="3"/>
        <v>9.800000000000017E-3</v>
      </c>
      <c r="BH9" s="193" t="s">
        <v>26</v>
      </c>
      <c r="BI9" s="191">
        <v>0.17</v>
      </c>
      <c r="BJ9" s="191">
        <v>0.21929999999999999</v>
      </c>
      <c r="BM9" s="194">
        <v>633</v>
      </c>
      <c r="BN9" s="194">
        <v>60</v>
      </c>
      <c r="BO9" s="194">
        <v>71</v>
      </c>
      <c r="BR9" s="195">
        <f>+AO9+AQ9-AR9</f>
        <v>2816</v>
      </c>
      <c r="BS9" s="195">
        <f>+AP9+AQ9-AR9</f>
        <v>2858</v>
      </c>
      <c r="BU9" s="186"/>
      <c r="BV9" s="186"/>
    </row>
    <row r="10" spans="1:74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9"/>
      <c r="I10" s="79"/>
      <c r="J10" s="79"/>
      <c r="K10" s="79">
        <f t="shared" si="0"/>
        <v>1404</v>
      </c>
      <c r="L10" s="79"/>
      <c r="M10" s="79"/>
      <c r="N10" s="79">
        <f t="shared" ref="N10:N15" si="4">BS10</f>
        <v>1380</v>
      </c>
      <c r="O10" s="79"/>
      <c r="P10" s="79"/>
      <c r="Q10" s="79"/>
      <c r="R10" s="79"/>
      <c r="S10" s="79"/>
      <c r="T10" s="79"/>
      <c r="U10" s="79">
        <f t="shared" ref="U10:U15" si="5">N10</f>
        <v>1380</v>
      </c>
      <c r="V10" s="516">
        <f>Poblacion2024!Z7</f>
        <v>5100.7</v>
      </c>
      <c r="W10" s="35">
        <f t="shared" ref="W10:W15" si="6">IF(V10=0,0,+N10/V10)</f>
        <v>0.27055110082929795</v>
      </c>
      <c r="X10" s="520">
        <f t="shared" ref="X10:X15" si="7">$X$8</f>
        <v>0.23880000000000001</v>
      </c>
      <c r="Y10" s="519">
        <f t="shared" ref="Y10:Y17" si="8">+X10*$Y$8</f>
        <v>0.11940000000000001</v>
      </c>
      <c r="Z10" s="113">
        <f t="shared" si="1"/>
        <v>1</v>
      </c>
      <c r="AA10" s="77">
        <f t="shared" ref="AA10:AA17" si="9">(+Z10*$AA$8/100)</f>
        <v>5.2699999999999997E-2</v>
      </c>
      <c r="AB10" s="146">
        <f t="shared" ref="AB10:AB17" si="10">X10</f>
        <v>0.23880000000000001</v>
      </c>
      <c r="AC10" s="146">
        <f t="shared" ref="AC10:AC17" si="11">(AG10/AE10)</f>
        <v>0.27055110082929795</v>
      </c>
      <c r="AD10" s="147">
        <f t="shared" ref="AD10:AD17" si="12">AC10/AB10</f>
        <v>1.1329610587491539</v>
      </c>
      <c r="AE10" s="499">
        <f t="shared" ref="AE10:AE17" si="13">V10</f>
        <v>5100.7</v>
      </c>
      <c r="AF10" s="500">
        <f t="shared" ref="AF10:AF17" si="14">AE10*AB10</f>
        <v>1218.0471600000001</v>
      </c>
      <c r="AG10" s="499">
        <f t="shared" ref="AG10:AG15" si="15">N10</f>
        <v>1380</v>
      </c>
      <c r="AH10" s="500">
        <f t="shared" ref="AH10:AH15" si="16">AF10/$AI$4</f>
        <v>101.50393000000001</v>
      </c>
      <c r="AI10" s="500">
        <f t="shared" ref="AI10:AI17" si="17">AH10*$AI$5</f>
        <v>710.52751000000012</v>
      </c>
      <c r="AJ10" s="500">
        <f t="shared" si="2"/>
        <v>1404</v>
      </c>
      <c r="AK10" s="99">
        <f t="shared" ref="AK10:AK17" si="18">AJ10/AI10</f>
        <v>1.9759966788618779</v>
      </c>
      <c r="AL10" s="429">
        <f t="shared" ref="AL10:AL17" si="19">(AI10-AJ10)*-1</f>
        <v>693.47248999999988</v>
      </c>
      <c r="AM10" s="5"/>
      <c r="AN10" s="19" t="s">
        <v>96</v>
      </c>
      <c r="AO10" s="184">
        <f>REMP!J7</f>
        <v>1309</v>
      </c>
      <c r="AP10" s="184">
        <f>REMP!S7</f>
        <v>1285</v>
      </c>
      <c r="AQ10" s="144">
        <f>REMC!BV7</f>
        <v>495</v>
      </c>
      <c r="AR10" s="144">
        <f>REMC!CJ7</f>
        <v>400</v>
      </c>
      <c r="AS10" s="185"/>
      <c r="AT10" s="186"/>
      <c r="AU10" s="187">
        <v>0.16590575275397798</v>
      </c>
      <c r="AV10" s="188">
        <v>0.17</v>
      </c>
      <c r="AW10" s="189">
        <v>0.17</v>
      </c>
      <c r="AX10" s="190">
        <f t="shared" ref="AX10:AX14" si="20">+AW10-AV10</f>
        <v>0</v>
      </c>
      <c r="AY10" s="190">
        <f t="shared" ref="AY10:AY14" si="21">+AX10*0.5</f>
        <v>0</v>
      </c>
      <c r="AZ10" s="190">
        <f t="shared" ref="AZ10:AZ14" si="22">+AY10+AV10</f>
        <v>0.17</v>
      </c>
      <c r="BA10" s="191">
        <f>+BI12</f>
        <v>0.17</v>
      </c>
      <c r="BB10" s="191">
        <v>1</v>
      </c>
      <c r="BC10" s="191">
        <v>6.2500000000000014E-2</v>
      </c>
      <c r="BD10" s="192">
        <f t="shared" si="3"/>
        <v>0</v>
      </c>
      <c r="BE10" s="192">
        <f t="shared" si="3"/>
        <v>9.800000000000017E-3</v>
      </c>
      <c r="BH10" s="193" t="s">
        <v>124</v>
      </c>
      <c r="BI10" s="191">
        <v>0.17</v>
      </c>
      <c r="BJ10" s="191">
        <v>0.2344</v>
      </c>
      <c r="BM10" s="194">
        <v>1511</v>
      </c>
      <c r="BN10" s="194">
        <v>345</v>
      </c>
      <c r="BO10" s="194">
        <v>117</v>
      </c>
      <c r="BR10" s="195">
        <f>+AO10+AQ10-AR10</f>
        <v>1404</v>
      </c>
      <c r="BS10" s="195">
        <f t="shared" ref="BS10:BS17" si="23">+AP10+AQ10-AR10</f>
        <v>1380</v>
      </c>
    </row>
    <row r="11" spans="1:74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/>
      <c r="J11" s="73"/>
      <c r="K11" s="73">
        <f t="shared" si="0"/>
        <v>1084</v>
      </c>
      <c r="L11" s="73"/>
      <c r="M11" s="73"/>
      <c r="N11" s="73">
        <f t="shared" si="4"/>
        <v>1084</v>
      </c>
      <c r="O11" s="73"/>
      <c r="P11" s="73"/>
      <c r="Q11" s="73"/>
      <c r="R11" s="73"/>
      <c r="S11" s="73"/>
      <c r="T11" s="73"/>
      <c r="U11" s="73">
        <f t="shared" si="5"/>
        <v>1084</v>
      </c>
      <c r="V11" s="516">
        <f>Poblacion2024!Z8</f>
        <v>4023.36</v>
      </c>
      <c r="W11" s="35">
        <f t="shared" si="6"/>
        <v>0.269426548954108</v>
      </c>
      <c r="X11" s="520">
        <f t="shared" si="7"/>
        <v>0.23880000000000001</v>
      </c>
      <c r="Y11" s="519">
        <f t="shared" si="8"/>
        <v>0.11940000000000001</v>
      </c>
      <c r="Z11" s="113">
        <f t="shared" si="1"/>
        <v>1</v>
      </c>
      <c r="AA11" s="77">
        <f t="shared" si="9"/>
        <v>5.2699999999999997E-2</v>
      </c>
      <c r="AB11" s="146">
        <f t="shared" si="10"/>
        <v>0.23880000000000001</v>
      </c>
      <c r="AC11" s="146">
        <f t="shared" si="11"/>
        <v>0.269426548954108</v>
      </c>
      <c r="AD11" s="147">
        <f t="shared" si="12"/>
        <v>1.1282518800423282</v>
      </c>
      <c r="AE11" s="499">
        <f t="shared" si="13"/>
        <v>4023.36</v>
      </c>
      <c r="AF11" s="500">
        <f t="shared" si="14"/>
        <v>960.77836800000011</v>
      </c>
      <c r="AG11" s="499">
        <f t="shared" si="15"/>
        <v>1084</v>
      </c>
      <c r="AH11" s="500">
        <f t="shared" si="16"/>
        <v>80.064864000000014</v>
      </c>
      <c r="AI11" s="500">
        <f t="shared" si="17"/>
        <v>560.45404800000006</v>
      </c>
      <c r="AJ11" s="500">
        <f t="shared" si="2"/>
        <v>1084</v>
      </c>
      <c r="AK11" s="99">
        <f t="shared" si="18"/>
        <v>1.9341460800725627</v>
      </c>
      <c r="AL11" s="429">
        <f t="shared" si="19"/>
        <v>523.54595199999994</v>
      </c>
      <c r="AM11" s="5"/>
      <c r="AN11" s="19" t="s">
        <v>97</v>
      </c>
      <c r="AO11" s="184">
        <f>REMP!J8</f>
        <v>848</v>
      </c>
      <c r="AP11" s="184">
        <f>REMP!S8</f>
        <v>848</v>
      </c>
      <c r="AQ11" s="144">
        <f>REMC!BV8</f>
        <v>606</v>
      </c>
      <c r="AR11" s="144">
        <f>REMC!CJ8</f>
        <v>370</v>
      </c>
      <c r="AS11" s="185"/>
      <c r="AT11" s="186"/>
      <c r="AU11" s="187">
        <v>0.22822151067323482</v>
      </c>
      <c r="AV11" s="188">
        <v>0.17</v>
      </c>
      <c r="AW11" s="189">
        <v>0.17</v>
      </c>
      <c r="AX11" s="190">
        <f t="shared" si="20"/>
        <v>0</v>
      </c>
      <c r="AY11" s="190">
        <f t="shared" si="21"/>
        <v>0</v>
      </c>
      <c r="AZ11" s="190">
        <f t="shared" si="22"/>
        <v>0.17</v>
      </c>
      <c r="BA11" s="191">
        <f>+BI10</f>
        <v>0.17</v>
      </c>
      <c r="BB11" s="191">
        <v>1</v>
      </c>
      <c r="BC11" s="191">
        <v>6.2500000000000014E-2</v>
      </c>
      <c r="BD11" s="192">
        <f t="shared" si="3"/>
        <v>0</v>
      </c>
      <c r="BE11" s="192">
        <f t="shared" si="3"/>
        <v>9.800000000000017E-3</v>
      </c>
      <c r="BH11" s="193" t="s">
        <v>32</v>
      </c>
      <c r="BI11" s="191">
        <v>0.17</v>
      </c>
      <c r="BJ11" s="191">
        <v>0.26929999999999998</v>
      </c>
      <c r="BM11" s="194">
        <v>1730</v>
      </c>
      <c r="BN11" s="194">
        <v>193</v>
      </c>
      <c r="BO11" s="194">
        <v>13</v>
      </c>
      <c r="BR11" s="195">
        <f t="shared" ref="BR11:BR17" si="24">+AO11+AQ11-AR11</f>
        <v>1084</v>
      </c>
      <c r="BS11" s="195">
        <f t="shared" si="23"/>
        <v>1084</v>
      </c>
    </row>
    <row r="12" spans="1:74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/>
      <c r="J12" s="73"/>
      <c r="K12" s="73">
        <f t="shared" si="0"/>
        <v>963</v>
      </c>
      <c r="L12" s="73"/>
      <c r="M12" s="73"/>
      <c r="N12" s="73">
        <f t="shared" si="4"/>
        <v>1081</v>
      </c>
      <c r="O12" s="73"/>
      <c r="P12" s="73"/>
      <c r="Q12" s="73"/>
      <c r="R12" s="73"/>
      <c r="S12" s="73"/>
      <c r="T12" s="73"/>
      <c r="U12" s="73">
        <f t="shared" si="5"/>
        <v>1081</v>
      </c>
      <c r="V12" s="516">
        <f>Poblacion2024!Z9</f>
        <v>4068.3978720000009</v>
      </c>
      <c r="W12" s="35">
        <f t="shared" si="6"/>
        <v>0.26570655919367753</v>
      </c>
      <c r="X12" s="520">
        <f t="shared" si="7"/>
        <v>0.23880000000000001</v>
      </c>
      <c r="Y12" s="519">
        <f t="shared" si="8"/>
        <v>0.11940000000000001</v>
      </c>
      <c r="Z12" s="113">
        <f t="shared" si="1"/>
        <v>1</v>
      </c>
      <c r="AA12" s="77">
        <f t="shared" si="9"/>
        <v>5.2699999999999997E-2</v>
      </c>
      <c r="AB12" s="146">
        <f t="shared" si="10"/>
        <v>0.23880000000000001</v>
      </c>
      <c r="AC12" s="146">
        <f t="shared" si="11"/>
        <v>0.26570655919367753</v>
      </c>
      <c r="AD12" s="147">
        <f t="shared" si="12"/>
        <v>1.1126740334743614</v>
      </c>
      <c r="AE12" s="499">
        <f t="shared" si="13"/>
        <v>4068.3978720000009</v>
      </c>
      <c r="AF12" s="500">
        <f t="shared" si="14"/>
        <v>971.53341183360021</v>
      </c>
      <c r="AG12" s="499">
        <f t="shared" si="15"/>
        <v>1081</v>
      </c>
      <c r="AH12" s="500">
        <f t="shared" si="16"/>
        <v>80.961117652800013</v>
      </c>
      <c r="AI12" s="500">
        <f t="shared" si="17"/>
        <v>566.7278235696001</v>
      </c>
      <c r="AJ12" s="500">
        <f t="shared" si="2"/>
        <v>963</v>
      </c>
      <c r="AK12" s="99">
        <f t="shared" si="18"/>
        <v>1.6992283772736518</v>
      </c>
      <c r="AL12" s="429">
        <f t="shared" si="19"/>
        <v>396.2721764303999</v>
      </c>
      <c r="AM12" s="5"/>
      <c r="AN12" s="19" t="s">
        <v>98</v>
      </c>
      <c r="AO12" s="184">
        <f>REMP!J9</f>
        <v>763</v>
      </c>
      <c r="AP12" s="184">
        <f>REMP!S9</f>
        <v>881</v>
      </c>
      <c r="AQ12" s="144">
        <f>REMC!BV9</f>
        <v>323</v>
      </c>
      <c r="AR12" s="144">
        <f>REMC!CJ9</f>
        <v>123</v>
      </c>
      <c r="AS12" s="185"/>
      <c r="AT12" s="186"/>
      <c r="AU12" s="187">
        <v>0.11272277227722774</v>
      </c>
      <c r="AV12" s="188">
        <v>0.17</v>
      </c>
      <c r="AW12" s="189">
        <v>0.17</v>
      </c>
      <c r="AX12" s="190">
        <f t="shared" si="20"/>
        <v>0</v>
      </c>
      <c r="AY12" s="190">
        <f t="shared" si="21"/>
        <v>0</v>
      </c>
      <c r="AZ12" s="190">
        <f t="shared" si="22"/>
        <v>0.17</v>
      </c>
      <c r="BA12" s="191">
        <f>+BI11</f>
        <v>0.17</v>
      </c>
      <c r="BB12" s="191">
        <v>1</v>
      </c>
      <c r="BC12" s="191">
        <v>6.2500000000000014E-2</v>
      </c>
      <c r="BD12" s="192">
        <f t="shared" si="3"/>
        <v>0</v>
      </c>
      <c r="BE12" s="192">
        <f t="shared" si="3"/>
        <v>9.800000000000017E-3</v>
      </c>
      <c r="BH12" s="193" t="s">
        <v>31</v>
      </c>
      <c r="BI12" s="191">
        <v>0.17</v>
      </c>
      <c r="BJ12" s="191">
        <v>0.21340000000000001</v>
      </c>
      <c r="BM12" s="194">
        <v>1218</v>
      </c>
      <c r="BN12" s="194">
        <v>94</v>
      </c>
      <c r="BO12" s="194">
        <v>52</v>
      </c>
      <c r="BR12" s="195">
        <f t="shared" si="24"/>
        <v>963</v>
      </c>
      <c r="BS12" s="195">
        <f t="shared" si="23"/>
        <v>1081</v>
      </c>
    </row>
    <row r="13" spans="1:74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/>
      <c r="J13" s="73"/>
      <c r="K13" s="73">
        <f t="shared" si="0"/>
        <v>2035</v>
      </c>
      <c r="L13" s="73"/>
      <c r="M13" s="73"/>
      <c r="N13" s="73">
        <f t="shared" si="4"/>
        <v>2178</v>
      </c>
      <c r="O13" s="73"/>
      <c r="P13" s="73"/>
      <c r="Q13" s="73"/>
      <c r="R13" s="73"/>
      <c r="S13" s="73"/>
      <c r="T13" s="73"/>
      <c r="U13" s="73">
        <f t="shared" si="5"/>
        <v>2178</v>
      </c>
      <c r="V13" s="516">
        <f>Poblacion2024!Z10</f>
        <v>4071.98</v>
      </c>
      <c r="W13" s="35">
        <f t="shared" si="6"/>
        <v>0.53487492571181583</v>
      </c>
      <c r="X13" s="520">
        <f t="shared" si="7"/>
        <v>0.23880000000000001</v>
      </c>
      <c r="Y13" s="519">
        <f t="shared" si="8"/>
        <v>0.11940000000000001</v>
      </c>
      <c r="Z13" s="113">
        <f t="shared" si="1"/>
        <v>1</v>
      </c>
      <c r="AA13" s="77">
        <f t="shared" si="9"/>
        <v>5.2699999999999997E-2</v>
      </c>
      <c r="AB13" s="146">
        <f t="shared" si="10"/>
        <v>0.23880000000000001</v>
      </c>
      <c r="AC13" s="146">
        <f t="shared" si="11"/>
        <v>0.53487492571181583</v>
      </c>
      <c r="AD13" s="147">
        <f t="shared" si="12"/>
        <v>2.239844747536917</v>
      </c>
      <c r="AE13" s="499">
        <f t="shared" si="13"/>
        <v>4071.98</v>
      </c>
      <c r="AF13" s="500">
        <f t="shared" si="14"/>
        <v>972.388824</v>
      </c>
      <c r="AG13" s="499">
        <f t="shared" si="15"/>
        <v>2178</v>
      </c>
      <c r="AH13" s="500">
        <f t="shared" si="16"/>
        <v>81.032402000000005</v>
      </c>
      <c r="AI13" s="500">
        <f t="shared" si="17"/>
        <v>567.22681399999999</v>
      </c>
      <c r="AJ13" s="500">
        <f t="shared" si="2"/>
        <v>2035</v>
      </c>
      <c r="AK13" s="99">
        <f t="shared" si="18"/>
        <v>3.5876301151024217</v>
      </c>
      <c r="AL13" s="429">
        <f t="shared" si="19"/>
        <v>1467.7731859999999</v>
      </c>
      <c r="AM13" s="5"/>
      <c r="AN13" s="19" t="s">
        <v>99</v>
      </c>
      <c r="AO13" s="184">
        <f>REMP!J10</f>
        <v>1732</v>
      </c>
      <c r="AP13" s="184">
        <f>REMP!S10</f>
        <v>1875</v>
      </c>
      <c r="AQ13" s="144">
        <f>REMC!BV10</f>
        <v>327</v>
      </c>
      <c r="AR13" s="144">
        <f>REMC!CJ10</f>
        <v>24</v>
      </c>
      <c r="AS13" s="185"/>
      <c r="AT13" s="186"/>
      <c r="AU13" s="187">
        <v>0.21899703217744454</v>
      </c>
      <c r="AV13" s="188">
        <v>0.17</v>
      </c>
      <c r="AW13" s="189">
        <v>0.17</v>
      </c>
      <c r="AX13" s="190">
        <f t="shared" si="20"/>
        <v>0</v>
      </c>
      <c r="AY13" s="190">
        <f t="shared" si="21"/>
        <v>0</v>
      </c>
      <c r="AZ13" s="190">
        <f t="shared" si="22"/>
        <v>0.17</v>
      </c>
      <c r="BA13" s="191">
        <f t="shared" ref="BA13:BA14" si="25">+BI13</f>
        <v>0.17</v>
      </c>
      <c r="BB13" s="191">
        <v>0.88647058823529401</v>
      </c>
      <c r="BC13" s="191">
        <v>5.540441176470589E-2</v>
      </c>
      <c r="BD13" s="192">
        <f t="shared" si="3"/>
        <v>-0.11352941176470599</v>
      </c>
      <c r="BE13" s="192">
        <f t="shared" si="3"/>
        <v>2.7044117647058927E-3</v>
      </c>
      <c r="BH13" s="193" t="s">
        <v>33</v>
      </c>
      <c r="BI13" s="191">
        <v>0.17</v>
      </c>
      <c r="BJ13" s="191">
        <v>0.1507</v>
      </c>
      <c r="BM13" s="194">
        <v>820</v>
      </c>
      <c r="BN13" s="194">
        <v>44</v>
      </c>
      <c r="BO13" s="194">
        <v>32</v>
      </c>
      <c r="BR13" s="195">
        <f t="shared" si="24"/>
        <v>2035</v>
      </c>
      <c r="BS13" s="195">
        <f t="shared" si="23"/>
        <v>2178</v>
      </c>
    </row>
    <row r="14" spans="1:74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/>
      <c r="J14" s="73"/>
      <c r="K14" s="73">
        <f t="shared" si="0"/>
        <v>25</v>
      </c>
      <c r="L14" s="73"/>
      <c r="M14" s="73"/>
      <c r="N14" s="73">
        <f t="shared" si="4"/>
        <v>22</v>
      </c>
      <c r="O14" s="73"/>
      <c r="P14" s="73"/>
      <c r="Q14" s="73"/>
      <c r="R14" s="73"/>
      <c r="S14" s="73"/>
      <c r="T14" s="73"/>
      <c r="U14" s="73">
        <f t="shared" si="5"/>
        <v>22</v>
      </c>
      <c r="V14" s="516">
        <f>Poblacion2024!Z11</f>
        <v>109.36067999999999</v>
      </c>
      <c r="W14" s="35">
        <f t="shared" si="6"/>
        <v>0.2011691953634524</v>
      </c>
      <c r="X14" s="520">
        <f t="shared" si="7"/>
        <v>0.23880000000000001</v>
      </c>
      <c r="Y14" s="519">
        <f t="shared" si="8"/>
        <v>0.11940000000000001</v>
      </c>
      <c r="Z14" s="113">
        <f t="shared" si="1"/>
        <v>1</v>
      </c>
      <c r="AA14" s="77">
        <f t="shared" si="9"/>
        <v>5.2699999999999997E-2</v>
      </c>
      <c r="AB14" s="146">
        <f t="shared" si="10"/>
        <v>0.23880000000000001</v>
      </c>
      <c r="AC14" s="146">
        <f t="shared" si="11"/>
        <v>0.2011691953634524</v>
      </c>
      <c r="AD14" s="147">
        <f t="shared" si="12"/>
        <v>0.84241706601110722</v>
      </c>
      <c r="AE14" s="499">
        <f t="shared" si="13"/>
        <v>109.36067999999999</v>
      </c>
      <c r="AF14" s="500">
        <f t="shared" si="14"/>
        <v>26.115330384</v>
      </c>
      <c r="AG14" s="499">
        <f t="shared" si="15"/>
        <v>22</v>
      </c>
      <c r="AH14" s="500">
        <f t="shared" si="16"/>
        <v>2.1762775319999998</v>
      </c>
      <c r="AI14" s="500">
        <f t="shared" si="17"/>
        <v>15.233942723999998</v>
      </c>
      <c r="AJ14" s="500">
        <f t="shared" si="2"/>
        <v>25</v>
      </c>
      <c r="AK14" s="99">
        <f t="shared" si="18"/>
        <v>1.641072206515144</v>
      </c>
      <c r="AL14" s="429">
        <f t="shared" si="19"/>
        <v>9.7660572760000015</v>
      </c>
      <c r="AM14" s="5"/>
      <c r="AN14" s="19" t="s">
        <v>100</v>
      </c>
      <c r="AO14" s="184">
        <f>REMP!J11</f>
        <v>26</v>
      </c>
      <c r="AP14" s="184">
        <f>REMP!S11</f>
        <v>23</v>
      </c>
      <c r="AQ14" s="144">
        <f>REMC!BV11</f>
        <v>8</v>
      </c>
      <c r="AR14" s="144">
        <f>REMC!CJ11</f>
        <v>9</v>
      </c>
      <c r="AS14" s="185"/>
      <c r="AT14" s="186"/>
      <c r="AU14" s="187">
        <v>0.13024505588993981</v>
      </c>
      <c r="AV14" s="188">
        <v>0.17</v>
      </c>
      <c r="AW14" s="189">
        <v>0.17</v>
      </c>
      <c r="AX14" s="190">
        <f t="shared" si="20"/>
        <v>0</v>
      </c>
      <c r="AY14" s="190">
        <f t="shared" si="21"/>
        <v>0</v>
      </c>
      <c r="AZ14" s="190">
        <f t="shared" si="22"/>
        <v>0.17</v>
      </c>
      <c r="BA14" s="191">
        <f t="shared" si="25"/>
        <v>0.153</v>
      </c>
      <c r="BB14" s="191">
        <v>1</v>
      </c>
      <c r="BC14" s="191">
        <v>6.2500000000000014E-2</v>
      </c>
      <c r="BD14" s="192">
        <f t="shared" si="3"/>
        <v>0</v>
      </c>
      <c r="BE14" s="192">
        <f t="shared" si="3"/>
        <v>9.800000000000017E-3</v>
      </c>
      <c r="BH14" s="193" t="s">
        <v>25</v>
      </c>
      <c r="BI14" s="191">
        <v>0.153</v>
      </c>
      <c r="BJ14" s="191">
        <v>0.21920000000000001</v>
      </c>
      <c r="BM14" s="194">
        <v>2358</v>
      </c>
      <c r="BN14" s="194">
        <v>262</v>
      </c>
      <c r="BO14" s="194">
        <v>157</v>
      </c>
      <c r="BR14" s="195">
        <f t="shared" si="24"/>
        <v>25</v>
      </c>
      <c r="BS14" s="195">
        <f t="shared" si="23"/>
        <v>22</v>
      </c>
    </row>
    <row r="15" spans="1:74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81"/>
      <c r="I15" s="81"/>
      <c r="J15" s="81"/>
      <c r="K15" s="81">
        <f t="shared" si="0"/>
        <v>487</v>
      </c>
      <c r="L15" s="81"/>
      <c r="M15" s="81"/>
      <c r="N15" s="81">
        <f t="shared" si="4"/>
        <v>474</v>
      </c>
      <c r="O15" s="81"/>
      <c r="P15" s="81"/>
      <c r="Q15" s="81"/>
      <c r="R15" s="81"/>
      <c r="S15" s="81"/>
      <c r="T15" s="81"/>
      <c r="U15" s="81">
        <f t="shared" si="5"/>
        <v>474</v>
      </c>
      <c r="V15" s="517">
        <f>Poblacion2024!Z12</f>
        <v>1073.6621280000002</v>
      </c>
      <c r="W15" s="35">
        <f t="shared" si="6"/>
        <v>0.44147966817359879</v>
      </c>
      <c r="X15" s="521">
        <f t="shared" si="7"/>
        <v>0.23880000000000001</v>
      </c>
      <c r="Y15" s="675">
        <f t="shared" si="8"/>
        <v>0.11940000000000001</v>
      </c>
      <c r="Z15" s="117">
        <f t="shared" si="1"/>
        <v>1</v>
      </c>
      <c r="AA15" s="84">
        <f t="shared" si="9"/>
        <v>5.2699999999999997E-2</v>
      </c>
      <c r="AB15" s="146">
        <f t="shared" si="10"/>
        <v>0.23880000000000001</v>
      </c>
      <c r="AC15" s="146">
        <f t="shared" si="11"/>
        <v>0.44147966817359879</v>
      </c>
      <c r="AD15" s="147">
        <f t="shared" si="12"/>
        <v>1.8487423290351708</v>
      </c>
      <c r="AE15" s="499">
        <f t="shared" si="13"/>
        <v>1073.6621280000002</v>
      </c>
      <c r="AF15" s="500">
        <f t="shared" si="14"/>
        <v>256.39051616640006</v>
      </c>
      <c r="AG15" s="499">
        <f t="shared" si="15"/>
        <v>474</v>
      </c>
      <c r="AH15" s="500">
        <f t="shared" si="16"/>
        <v>21.365876347200004</v>
      </c>
      <c r="AI15" s="500">
        <f t="shared" si="17"/>
        <v>149.56113443040002</v>
      </c>
      <c r="AJ15" s="500">
        <f t="shared" si="2"/>
        <v>487</v>
      </c>
      <c r="AK15" s="99">
        <f t="shared" si="18"/>
        <v>3.2561935415556174</v>
      </c>
      <c r="AL15" s="429">
        <f t="shared" si="19"/>
        <v>337.43886556960001</v>
      </c>
      <c r="AM15" s="5"/>
      <c r="AN15" s="19" t="s">
        <v>101</v>
      </c>
      <c r="AO15" s="184">
        <f>REMP!J12</f>
        <v>427</v>
      </c>
      <c r="AP15" s="184">
        <f>REMP!S12</f>
        <v>414</v>
      </c>
      <c r="AQ15" s="144">
        <f>REMC!BV12</f>
        <v>120</v>
      </c>
      <c r="AR15" s="144">
        <f>REMC!CJ12</f>
        <v>60</v>
      </c>
      <c r="AS15" s="185"/>
      <c r="AT15" s="186"/>
      <c r="AU15" s="187"/>
      <c r="AV15" s="188"/>
      <c r="AW15" s="189"/>
      <c r="AX15" s="190"/>
      <c r="AY15" s="190"/>
      <c r="AZ15" s="190"/>
      <c r="BA15" s="191"/>
      <c r="BB15" s="191"/>
      <c r="BC15" s="191"/>
      <c r="BD15" s="192"/>
      <c r="BE15" s="192"/>
      <c r="BI15" s="191"/>
      <c r="BJ15" s="191"/>
      <c r="BM15" s="194"/>
      <c r="BN15" s="194"/>
      <c r="BO15" s="194"/>
      <c r="BR15" s="195">
        <f t="shared" si="24"/>
        <v>487</v>
      </c>
      <c r="BS15" s="195">
        <f t="shared" si="23"/>
        <v>474</v>
      </c>
    </row>
    <row r="16" spans="1:74" s="193" customFormat="1" ht="15.75" thickBot="1" x14ac:dyDescent="0.3">
      <c r="A16" s="5"/>
      <c r="B16" s="5"/>
      <c r="C16" s="5"/>
      <c r="D16" s="5"/>
      <c r="E16" s="6"/>
      <c r="F16" s="103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5"/>
      <c r="AN16" s="57"/>
      <c r="AO16" s="197"/>
      <c r="AP16" s="197"/>
      <c r="AQ16" s="197"/>
      <c r="AR16" s="197"/>
      <c r="AS16" s="111"/>
      <c r="AT16" s="186"/>
      <c r="AU16" s="186"/>
      <c r="AV16" s="111"/>
      <c r="AW16" s="111"/>
      <c r="AX16" s="198"/>
      <c r="AY16" s="198"/>
      <c r="AZ16" s="112"/>
      <c r="BA16" s="186"/>
      <c r="BB16" s="191"/>
      <c r="BC16" s="191"/>
      <c r="BE16" s="191"/>
      <c r="BR16" s="199">
        <f t="shared" si="24"/>
        <v>0</v>
      </c>
      <c r="BS16" s="195">
        <f t="shared" si="23"/>
        <v>0</v>
      </c>
    </row>
    <row r="17" spans="1:71" s="193" customFormat="1" ht="18" thickBot="1" x14ac:dyDescent="0.35">
      <c r="A17" s="5"/>
      <c r="B17" s="5"/>
      <c r="C17" s="5"/>
      <c r="D17" s="5"/>
      <c r="E17" s="6"/>
      <c r="F17" s="103"/>
      <c r="G17" s="29" t="s">
        <v>202</v>
      </c>
      <c r="H17" s="738"/>
      <c r="I17" s="739">
        <f t="shared" ref="I17:P17" si="26">SUM(I9:I15)</f>
        <v>0</v>
      </c>
      <c r="J17" s="739">
        <f t="shared" si="26"/>
        <v>0</v>
      </c>
      <c r="K17" s="739">
        <f>SUM(K9:K15)</f>
        <v>8814</v>
      </c>
      <c r="L17" s="739">
        <f t="shared" si="26"/>
        <v>0</v>
      </c>
      <c r="M17" s="739">
        <f t="shared" si="26"/>
        <v>0</v>
      </c>
      <c r="N17" s="739">
        <f t="shared" si="26"/>
        <v>9077</v>
      </c>
      <c r="O17" s="739">
        <f t="shared" si="26"/>
        <v>0</v>
      </c>
      <c r="P17" s="739">
        <f t="shared" si="26"/>
        <v>0</v>
      </c>
      <c r="Q17" s="739">
        <f t="shared" ref="Q17" si="27">SUM(Q9:Q15)</f>
        <v>0</v>
      </c>
      <c r="R17" s="739">
        <f t="shared" ref="R17:U17" si="28">SUM(R9:R15)</f>
        <v>0</v>
      </c>
      <c r="S17" s="739">
        <f t="shared" si="28"/>
        <v>0</v>
      </c>
      <c r="T17" s="739">
        <f t="shared" si="28"/>
        <v>0</v>
      </c>
      <c r="U17" s="739">
        <f t="shared" si="28"/>
        <v>9077</v>
      </c>
      <c r="V17" s="740">
        <f>SUM(V9:V15)</f>
        <v>26750.460000000003</v>
      </c>
      <c r="W17" s="741">
        <f>IF(V17=0,0,+N17/V17)</f>
        <v>0.33932126774642374</v>
      </c>
      <c r="X17" s="742">
        <f>$X$8</f>
        <v>0.23880000000000001</v>
      </c>
      <c r="Y17" s="743">
        <f t="shared" si="8"/>
        <v>0.11940000000000001</v>
      </c>
      <c r="Z17" s="744">
        <f t="shared" ref="Z17" si="29">IF(+W17/Y17&gt;1,1,+W17/Y17)</f>
        <v>1</v>
      </c>
      <c r="AA17" s="511">
        <f t="shared" si="9"/>
        <v>5.2699999999999997E-2</v>
      </c>
      <c r="AB17" s="737">
        <f t="shared" si="10"/>
        <v>0.23880000000000001</v>
      </c>
      <c r="AC17" s="146">
        <f t="shared" si="11"/>
        <v>0.33932126774642374</v>
      </c>
      <c r="AD17" s="147">
        <f t="shared" si="12"/>
        <v>1.4209433322714562</v>
      </c>
      <c r="AE17" s="97">
        <f t="shared" si="13"/>
        <v>26750.460000000003</v>
      </c>
      <c r="AF17" s="98">
        <f t="shared" si="14"/>
        <v>6388.0098480000006</v>
      </c>
      <c r="AG17" s="97">
        <f>N17</f>
        <v>9077</v>
      </c>
      <c r="AH17" s="98">
        <f>AF17/$AI$4</f>
        <v>532.33415400000001</v>
      </c>
      <c r="AI17" s="98">
        <f t="shared" si="17"/>
        <v>3726.339078</v>
      </c>
      <c r="AJ17" s="98">
        <f>K17</f>
        <v>8814</v>
      </c>
      <c r="AK17" s="99">
        <f t="shared" si="18"/>
        <v>2.3653242003759489</v>
      </c>
      <c r="AL17" s="429">
        <f t="shared" si="19"/>
        <v>5087.660922</v>
      </c>
      <c r="AM17" s="5"/>
      <c r="AN17" s="57"/>
      <c r="AO17" s="200">
        <f>SUM(AO9:AO15)</f>
        <v>7705</v>
      </c>
      <c r="AP17" s="804">
        <f>SUM(AP9:AP15)</f>
        <v>7968</v>
      </c>
      <c r="AQ17" s="200">
        <f>SUM(AQ9:AQ15)</f>
        <v>2402</v>
      </c>
      <c r="AR17" s="200">
        <f>SUM(AR9:AR15)</f>
        <v>1293</v>
      </c>
      <c r="AS17" s="111"/>
      <c r="AT17" s="186"/>
      <c r="AU17" s="186"/>
      <c r="AV17" s="111"/>
      <c r="AW17" s="111"/>
      <c r="AX17" s="198"/>
      <c r="AY17" s="198"/>
      <c r="AZ17" s="112"/>
      <c r="BA17" s="186"/>
      <c r="BB17" s="191"/>
      <c r="BC17" s="191"/>
      <c r="BE17" s="191"/>
      <c r="BR17" s="195">
        <f t="shared" si="24"/>
        <v>8814</v>
      </c>
      <c r="BS17" s="195">
        <f t="shared" si="23"/>
        <v>9077</v>
      </c>
    </row>
    <row r="18" spans="1:71" s="193" customFormat="1" x14ac:dyDescent="0.25">
      <c r="A18" s="5"/>
      <c r="B18" s="5"/>
      <c r="C18" s="5"/>
      <c r="D18" s="5"/>
      <c r="E18" s="6"/>
      <c r="F18" s="103"/>
      <c r="W18" s="191"/>
      <c r="Y18" s="196"/>
      <c r="AA18" s="196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6"/>
      <c r="AP18" s="186"/>
      <c r="AQ18" s="186"/>
      <c r="AR18" s="186"/>
      <c r="AS18" s="111"/>
      <c r="AT18" s="186"/>
      <c r="AU18" s="186"/>
      <c r="AV18" s="111"/>
      <c r="AW18" s="111"/>
      <c r="AX18" s="198"/>
      <c r="AY18" s="198"/>
      <c r="AZ18" s="112"/>
      <c r="BA18" s="186"/>
      <c r="BB18" s="191"/>
      <c r="BC18" s="191"/>
      <c r="BE18" s="191"/>
    </row>
  </sheetData>
  <autoFilter ref="G4:G15" xr:uid="{00000000-0001-0000-0C00-000000000000}"/>
  <mergeCells count="11">
    <mergeCell ref="AO6:AR6"/>
    <mergeCell ref="AV6:AX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J9" sqref="J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10" width="6.85546875" style="162" bestFit="1" customWidth="1"/>
    <col min="11" max="11" width="6.85546875" style="162" customWidth="1"/>
    <col min="12" max="14" width="6.85546875" style="162" bestFit="1" customWidth="1"/>
    <col min="15" max="15" width="5.28515625" style="162" bestFit="1" customWidth="1"/>
    <col min="16" max="16" width="5.85546875" style="162" bestFit="1" customWidth="1"/>
    <col min="17" max="17" width="4.85546875" style="162" bestFit="1" customWidth="1"/>
    <col min="18" max="18" width="5.42578125" style="162" bestFit="1" customWidth="1"/>
    <col min="19" max="19" width="4.5703125" style="162" bestFit="1" customWidth="1"/>
    <col min="20" max="20" width="8.140625" style="162" bestFit="1" customWidth="1"/>
    <col min="21" max="21" width="27.5703125" style="162" customWidth="1"/>
    <col min="22" max="22" width="14.85546875" style="163" customWidth="1"/>
    <col min="23" max="23" width="12.5703125" style="162" customWidth="1"/>
    <col min="24" max="24" width="14.140625" style="204" customWidth="1"/>
    <col min="25" max="25" width="16.42578125" style="162" customWidth="1"/>
    <col min="26" max="26" width="16.85546875" style="164" customWidth="1"/>
    <col min="27" max="33" width="12.7109375" style="164" customWidth="1"/>
    <col min="34" max="34" width="12.7109375" style="205" customWidth="1"/>
    <col min="35" max="35" width="12.7109375" style="164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2" customWidth="1"/>
    <col min="46" max="16384" width="11.42578125" style="162"/>
  </cols>
  <sheetData>
    <row r="1" spans="1:43" s="161" customFormat="1" ht="21" customHeight="1" x14ac:dyDescent="0.45">
      <c r="A1" s="2"/>
      <c r="B1" s="2"/>
      <c r="C1" s="2"/>
      <c r="D1" s="2"/>
      <c r="E1" s="3"/>
      <c r="F1" s="101"/>
      <c r="G1" s="922" t="s">
        <v>0</v>
      </c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155"/>
      <c r="AB1" s="155"/>
      <c r="AC1" s="155"/>
      <c r="AD1" s="155"/>
      <c r="AE1" s="155"/>
      <c r="AF1" s="155"/>
      <c r="AG1" s="155"/>
      <c r="AH1" s="201"/>
      <c r="AI1" s="202"/>
      <c r="AJ1" s="56"/>
      <c r="AK1" s="136"/>
      <c r="AL1" s="136"/>
      <c r="AM1" s="56"/>
      <c r="AN1" s="2"/>
      <c r="AO1" s="2"/>
      <c r="AP1" s="2"/>
      <c r="AQ1" s="56"/>
    </row>
    <row r="2" spans="1:43" s="161" customFormat="1" ht="28.5" x14ac:dyDescent="0.45">
      <c r="A2" s="2"/>
      <c r="B2" s="2"/>
      <c r="C2" s="2"/>
      <c r="D2" s="2"/>
      <c r="E2" s="3"/>
      <c r="F2" s="101"/>
      <c r="G2" s="923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4"/>
      <c r="AB2" s="4"/>
      <c r="AC2" s="4"/>
      <c r="AD2" s="4"/>
      <c r="AE2" s="4"/>
      <c r="AF2" s="4"/>
      <c r="AG2" s="4"/>
      <c r="AH2" s="203"/>
      <c r="AI2" s="202"/>
      <c r="AJ2" s="56"/>
      <c r="AK2" s="136"/>
      <c r="AL2" s="136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42" t="s">
        <v>536</v>
      </c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943"/>
      <c r="Z4" s="944"/>
      <c r="AA4" s="5"/>
      <c r="AB4" s="5"/>
      <c r="AC4" s="5"/>
      <c r="AD4" s="6"/>
      <c r="AE4" s="5"/>
      <c r="AF4" s="5"/>
      <c r="AG4" s="88" t="s">
        <v>45</v>
      </c>
      <c r="AH4" s="89">
        <v>12</v>
      </c>
      <c r="AI4" s="6"/>
      <c r="AJ4" s="6"/>
      <c r="AK4" s="5"/>
    </row>
    <row r="5" spans="1:43" ht="36" customHeight="1" x14ac:dyDescent="0.25">
      <c r="G5" s="945"/>
      <c r="H5" s="946"/>
      <c r="I5" s="946"/>
      <c r="J5" s="946"/>
      <c r="K5" s="946"/>
      <c r="L5" s="946"/>
      <c r="M5" s="946"/>
      <c r="N5" s="946"/>
      <c r="O5" s="946"/>
      <c r="P5" s="946"/>
      <c r="Q5" s="946"/>
      <c r="R5" s="946"/>
      <c r="S5" s="946"/>
      <c r="T5" s="946"/>
      <c r="U5" s="946"/>
      <c r="V5" s="946"/>
      <c r="W5" s="946"/>
      <c r="X5" s="946"/>
      <c r="Y5" s="946"/>
      <c r="Z5" s="947"/>
      <c r="AA5" s="5"/>
      <c r="AB5" s="5"/>
      <c r="AC5" s="5"/>
      <c r="AD5" s="6"/>
      <c r="AE5" s="5"/>
      <c r="AF5" s="5"/>
      <c r="AG5" s="88" t="s">
        <v>46</v>
      </c>
      <c r="AH5" s="89">
        <f>meta3!AB2</f>
        <v>7</v>
      </c>
      <c r="AI5" s="6"/>
      <c r="AJ5" s="5"/>
      <c r="AK5" s="5"/>
    </row>
    <row r="6" spans="1:43" ht="58.5" customHeight="1" thickBot="1" x14ac:dyDescent="0.3">
      <c r="G6" s="167"/>
      <c r="H6" s="953" t="s">
        <v>4</v>
      </c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4"/>
      <c r="U6" s="206" t="s">
        <v>5</v>
      </c>
      <c r="V6" s="948" t="s">
        <v>6</v>
      </c>
      <c r="W6" s="949">
        <f>+NOMBRE!$B$9</f>
        <v>2024</v>
      </c>
      <c r="X6" s="950"/>
      <c r="Y6" s="951" t="s">
        <v>7</v>
      </c>
      <c r="Z6" s="952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43" ht="99.75" thickBot="1" x14ac:dyDescent="0.3">
      <c r="G7" s="606" t="s">
        <v>431</v>
      </c>
      <c r="H7" s="937" t="s">
        <v>440</v>
      </c>
      <c r="I7" s="937"/>
      <c r="J7" s="937"/>
      <c r="K7" s="937"/>
      <c r="L7" s="937"/>
      <c r="M7" s="937"/>
      <c r="N7" s="937"/>
      <c r="O7" s="937"/>
      <c r="P7" s="937"/>
      <c r="Q7" s="937"/>
      <c r="R7" s="937"/>
      <c r="S7" s="937"/>
      <c r="T7" s="938"/>
      <c r="U7" s="174" t="s">
        <v>110</v>
      </c>
      <c r="V7" s="931"/>
      <c r="W7" s="175" t="s">
        <v>11</v>
      </c>
      <c r="X7" s="175" t="s">
        <v>43</v>
      </c>
      <c r="Y7" s="176" t="s">
        <v>13</v>
      </c>
      <c r="Z7" s="14" t="s">
        <v>505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3" ht="18" thickBot="1" x14ac:dyDescent="0.3">
      <c r="G8" s="453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503" t="s">
        <v>201</v>
      </c>
      <c r="U8" s="174"/>
      <c r="V8" s="456"/>
      <c r="W8" s="693">
        <f>indicadores!E30</f>
        <v>6</v>
      </c>
      <c r="X8" s="457">
        <f>indicadores!$D$54</f>
        <v>0.5</v>
      </c>
      <c r="Y8" s="458"/>
      <c r="Z8" s="442">
        <v>1.32</v>
      </c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43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>
        <f>REMC!DN6</f>
        <v>1032</v>
      </c>
      <c r="I9" s="182">
        <f>REMC!DO6</f>
        <v>893</v>
      </c>
      <c r="J9" s="182">
        <f>REMC!DP6</f>
        <v>1040</v>
      </c>
      <c r="K9" s="182">
        <f>REMC!DQ6</f>
        <v>972</v>
      </c>
      <c r="L9" s="182">
        <f>REMC!DR6</f>
        <v>1028</v>
      </c>
      <c r="M9" s="182">
        <f>REMC!DS6</f>
        <v>1094</v>
      </c>
      <c r="N9" s="182">
        <f>REMC!DT6</f>
        <v>1086</v>
      </c>
      <c r="O9" s="182">
        <f>REMC!DU6</f>
        <v>0</v>
      </c>
      <c r="P9" s="182">
        <f>REMC!DV6</f>
        <v>0</v>
      </c>
      <c r="Q9" s="182">
        <f>REMC!DW6</f>
        <v>0</v>
      </c>
      <c r="R9" s="182">
        <f>REMC!DX6</f>
        <v>0</v>
      </c>
      <c r="S9" s="182">
        <f>REMC!DY6</f>
        <v>0</v>
      </c>
      <c r="T9" s="523">
        <f>SUM(H9:S9)</f>
        <v>7145</v>
      </c>
      <c r="U9" s="565">
        <f>meta10a!N9</f>
        <v>2858</v>
      </c>
      <c r="V9" s="527">
        <f>IF(U9=0,0,+T9/U9)</f>
        <v>2.5</v>
      </c>
      <c r="W9" s="207">
        <f>$W$8</f>
        <v>6</v>
      </c>
      <c r="X9" s="207">
        <f>+W9*$X$8</f>
        <v>3</v>
      </c>
      <c r="Y9" s="110">
        <f t="shared" ref="Y9:Y16" si="0">IF(+V9/X9&gt;1,1,+V9/X9)</f>
        <v>0.83333333333333337</v>
      </c>
      <c r="Z9" s="71">
        <f>(+Y9*$Z$8/100)</f>
        <v>1.1000000000000001E-2</v>
      </c>
      <c r="AA9" s="95">
        <f>$W$16</f>
        <v>6</v>
      </c>
      <c r="AB9" s="95">
        <f>(AF9/AD9)</f>
        <v>2.5</v>
      </c>
      <c r="AC9" s="96">
        <f>AB9/AA9</f>
        <v>0.41666666666666669</v>
      </c>
      <c r="AD9" s="97">
        <f>U9</f>
        <v>2858</v>
      </c>
      <c r="AE9" s="98">
        <f>AD9*AA9</f>
        <v>17148</v>
      </c>
      <c r="AF9" s="97">
        <f>T9</f>
        <v>7145</v>
      </c>
      <c r="AG9" s="98">
        <f>AE9/$AH$4</f>
        <v>1429</v>
      </c>
      <c r="AH9" s="98">
        <f>AG9*$AH$5</f>
        <v>10003</v>
      </c>
      <c r="AI9" s="98">
        <f>T9</f>
        <v>7145</v>
      </c>
      <c r="AJ9" s="99">
        <f>AI9/AH9</f>
        <v>0.7142857142857143</v>
      </c>
      <c r="AK9" s="429">
        <f>(AH9-AI9)*-1</f>
        <v>-2858</v>
      </c>
      <c r="AL9" s="183"/>
      <c r="AM9" s="123"/>
      <c r="AN9" s="18"/>
      <c r="AO9" s="6"/>
      <c r="AP9" s="5"/>
      <c r="AQ9" s="57"/>
    </row>
    <row r="10" spans="1:43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182">
        <f>REMC!DN7</f>
        <v>623</v>
      </c>
      <c r="I10" s="182">
        <f>REMC!DO7</f>
        <v>534</v>
      </c>
      <c r="J10" s="182">
        <f>REMC!DP7</f>
        <v>805</v>
      </c>
      <c r="K10" s="182">
        <f>REMC!DQ7</f>
        <v>742</v>
      </c>
      <c r="L10" s="182">
        <f>REMC!DR7</f>
        <v>904</v>
      </c>
      <c r="M10" s="182">
        <f>REMC!DS7</f>
        <v>706</v>
      </c>
      <c r="N10" s="182">
        <f>REMC!DT7</f>
        <v>973</v>
      </c>
      <c r="O10" s="182">
        <f>REMC!DU7</f>
        <v>0</v>
      </c>
      <c r="P10" s="182">
        <f>REMC!DV7</f>
        <v>0</v>
      </c>
      <c r="Q10" s="182">
        <f>REMC!DW7</f>
        <v>0</v>
      </c>
      <c r="R10" s="182">
        <f>REMC!DX7</f>
        <v>0</v>
      </c>
      <c r="S10" s="182">
        <f>REMC!DY7</f>
        <v>0</v>
      </c>
      <c r="T10" s="524">
        <f t="shared" ref="T10:T16" si="1">SUM(H10:S10)</f>
        <v>5287</v>
      </c>
      <c r="U10" s="566">
        <f>meta10a!N10</f>
        <v>1380</v>
      </c>
      <c r="V10" s="528">
        <f t="shared" ref="V10:V16" si="2">IF(U10=0,0,+T10/U10)</f>
        <v>3.8311594202898549</v>
      </c>
      <c r="W10" s="208">
        <f t="shared" ref="W10:W16" si="3">$W$8</f>
        <v>6</v>
      </c>
      <c r="X10" s="208">
        <f t="shared" ref="X10:X16" si="4">+W10*$X$8</f>
        <v>3</v>
      </c>
      <c r="Y10" s="113">
        <f t="shared" si="0"/>
        <v>1</v>
      </c>
      <c r="Z10" s="71">
        <f t="shared" ref="Z10:Z16" si="5">(+Y10*$Z$8/100)</f>
        <v>1.32E-2</v>
      </c>
      <c r="AA10" s="95">
        <f t="shared" ref="AA10:AA16" si="6">$W$16</f>
        <v>6</v>
      </c>
      <c r="AB10" s="95">
        <f t="shared" ref="AB10:AB16" si="7">(AF10/AD10)</f>
        <v>3.8311594202898549</v>
      </c>
      <c r="AC10" s="96">
        <f t="shared" ref="AC10:AC16" si="8">AB10/AA10</f>
        <v>0.63852657004830915</v>
      </c>
      <c r="AD10" s="97">
        <f t="shared" ref="AD10:AD16" si="9">U10</f>
        <v>1380</v>
      </c>
      <c r="AE10" s="98">
        <f t="shared" ref="AE10:AE16" si="10">AD10*AA10</f>
        <v>8280</v>
      </c>
      <c r="AF10" s="97">
        <f t="shared" ref="AF10:AF16" si="11">T10</f>
        <v>5287</v>
      </c>
      <c r="AG10" s="98">
        <f t="shared" ref="AG10:AG16" si="12">AE10/$AH$4</f>
        <v>690</v>
      </c>
      <c r="AH10" s="98">
        <f t="shared" ref="AH10:AH16" si="13">AG10*$AH$5</f>
        <v>4830</v>
      </c>
      <c r="AI10" s="98">
        <f t="shared" ref="AI10:AI16" si="14">T10</f>
        <v>5287</v>
      </c>
      <c r="AJ10" s="99">
        <f t="shared" ref="AJ10:AJ16" si="15">AI10/AH10</f>
        <v>1.0946169772256729</v>
      </c>
      <c r="AK10" s="429">
        <f t="shared" ref="AK10:AK16" si="16">(AH10-AI10)*-1</f>
        <v>457</v>
      </c>
      <c r="AL10" s="183"/>
      <c r="AM10" s="123"/>
      <c r="AN10" s="18"/>
      <c r="AO10" s="6"/>
      <c r="AP10" s="5"/>
      <c r="AQ10" s="57"/>
    </row>
    <row r="11" spans="1:43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0</v>
      </c>
      <c r="P11" s="79">
        <f>REMC!DV8</f>
        <v>0</v>
      </c>
      <c r="Q11" s="79">
        <f>REMC!DW8</f>
        <v>0</v>
      </c>
      <c r="R11" s="79">
        <f>REMC!DX8</f>
        <v>0</v>
      </c>
      <c r="S11" s="79">
        <f>REMC!DY8</f>
        <v>0</v>
      </c>
      <c r="T11" s="525">
        <f t="shared" si="1"/>
        <v>3318</v>
      </c>
      <c r="U11" s="430">
        <f>meta10a!N11</f>
        <v>1084</v>
      </c>
      <c r="V11" s="528">
        <f t="shared" si="2"/>
        <v>3.0608856088560885</v>
      </c>
      <c r="W11" s="208">
        <f t="shared" si="3"/>
        <v>6</v>
      </c>
      <c r="X11" s="208">
        <f t="shared" si="4"/>
        <v>3</v>
      </c>
      <c r="Y11" s="113">
        <f t="shared" si="0"/>
        <v>1</v>
      </c>
      <c r="Z11" s="71">
        <f t="shared" si="5"/>
        <v>1.32E-2</v>
      </c>
      <c r="AA11" s="95">
        <f t="shared" si="6"/>
        <v>6</v>
      </c>
      <c r="AB11" s="95">
        <f t="shared" si="7"/>
        <v>3.0608856088560885</v>
      </c>
      <c r="AC11" s="96">
        <f t="shared" si="8"/>
        <v>0.51014760147601479</v>
      </c>
      <c r="AD11" s="97">
        <f t="shared" si="9"/>
        <v>1084</v>
      </c>
      <c r="AE11" s="98">
        <f t="shared" si="10"/>
        <v>6504</v>
      </c>
      <c r="AF11" s="97">
        <f t="shared" si="11"/>
        <v>3318</v>
      </c>
      <c r="AG11" s="98">
        <f t="shared" si="12"/>
        <v>542</v>
      </c>
      <c r="AH11" s="98">
        <f t="shared" si="13"/>
        <v>3794</v>
      </c>
      <c r="AI11" s="98">
        <f t="shared" si="14"/>
        <v>3318</v>
      </c>
      <c r="AJ11" s="99">
        <f t="shared" si="15"/>
        <v>0.87453874538745391</v>
      </c>
      <c r="AK11" s="429">
        <f t="shared" si="16"/>
        <v>-476</v>
      </c>
      <c r="AL11" s="183"/>
      <c r="AM11" s="123"/>
      <c r="AN11" s="18"/>
      <c r="AO11" s="6"/>
      <c r="AP11" s="5"/>
      <c r="AQ11" s="57"/>
    </row>
    <row r="12" spans="1:43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0</v>
      </c>
      <c r="P12" s="73">
        <f>REMC!DV9</f>
        <v>0</v>
      </c>
      <c r="Q12" s="73">
        <f>REMC!DW9</f>
        <v>0</v>
      </c>
      <c r="R12" s="73">
        <f>REMC!DX9</f>
        <v>0</v>
      </c>
      <c r="S12" s="73">
        <f>REMC!DY9</f>
        <v>0</v>
      </c>
      <c r="T12" s="526">
        <f t="shared" si="1"/>
        <v>3607</v>
      </c>
      <c r="U12" s="430">
        <f>meta10a!N12</f>
        <v>1081</v>
      </c>
      <c r="V12" s="528">
        <f t="shared" si="2"/>
        <v>3.3367252543940795</v>
      </c>
      <c r="W12" s="208">
        <f t="shared" si="3"/>
        <v>6</v>
      </c>
      <c r="X12" s="208">
        <f t="shared" si="4"/>
        <v>3</v>
      </c>
      <c r="Y12" s="113">
        <f t="shared" si="0"/>
        <v>1</v>
      </c>
      <c r="Z12" s="71">
        <f t="shared" si="5"/>
        <v>1.32E-2</v>
      </c>
      <c r="AA12" s="95">
        <f t="shared" si="6"/>
        <v>6</v>
      </c>
      <c r="AB12" s="95">
        <f t="shared" si="7"/>
        <v>3.3367252543940795</v>
      </c>
      <c r="AC12" s="96">
        <f t="shared" si="8"/>
        <v>0.55612087573234659</v>
      </c>
      <c r="AD12" s="97">
        <f t="shared" si="9"/>
        <v>1081</v>
      </c>
      <c r="AE12" s="98">
        <f t="shared" si="10"/>
        <v>6486</v>
      </c>
      <c r="AF12" s="97">
        <f t="shared" si="11"/>
        <v>3607</v>
      </c>
      <c r="AG12" s="98">
        <f t="shared" si="12"/>
        <v>540.5</v>
      </c>
      <c r="AH12" s="98">
        <f t="shared" si="13"/>
        <v>3783.5</v>
      </c>
      <c r="AI12" s="98">
        <f t="shared" si="14"/>
        <v>3607</v>
      </c>
      <c r="AJ12" s="99">
        <f t="shared" si="15"/>
        <v>0.95335007268402272</v>
      </c>
      <c r="AK12" s="429">
        <f t="shared" si="16"/>
        <v>-176.5</v>
      </c>
      <c r="AL12" s="183"/>
      <c r="AM12" s="123"/>
      <c r="AN12" s="18"/>
      <c r="AO12" s="6"/>
      <c r="AP12" s="5"/>
      <c r="AQ12" s="57"/>
    </row>
    <row r="13" spans="1:43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0</v>
      </c>
      <c r="P13" s="73">
        <f>REMC!DV10</f>
        <v>0</v>
      </c>
      <c r="Q13" s="73">
        <f>REMC!DW10</f>
        <v>0</v>
      </c>
      <c r="R13" s="73">
        <f>REMC!DX10</f>
        <v>0</v>
      </c>
      <c r="S13" s="73">
        <f>REMC!DY10</f>
        <v>0</v>
      </c>
      <c r="T13" s="526">
        <f t="shared" si="1"/>
        <v>3578</v>
      </c>
      <c r="U13" s="430">
        <f>meta10a!N13</f>
        <v>2178</v>
      </c>
      <c r="V13" s="528">
        <f t="shared" si="2"/>
        <v>1.642791551882461</v>
      </c>
      <c r="W13" s="208">
        <f t="shared" si="3"/>
        <v>6</v>
      </c>
      <c r="X13" s="208">
        <f t="shared" si="4"/>
        <v>3</v>
      </c>
      <c r="Y13" s="113">
        <f t="shared" si="0"/>
        <v>0.54759718396082036</v>
      </c>
      <c r="Z13" s="71">
        <f t="shared" si="5"/>
        <v>7.2282828282828294E-3</v>
      </c>
      <c r="AA13" s="95">
        <f t="shared" si="6"/>
        <v>6</v>
      </c>
      <c r="AB13" s="95">
        <f t="shared" si="7"/>
        <v>1.642791551882461</v>
      </c>
      <c r="AC13" s="96">
        <f t="shared" si="8"/>
        <v>0.27379859198041018</v>
      </c>
      <c r="AD13" s="97">
        <f t="shared" si="9"/>
        <v>2178</v>
      </c>
      <c r="AE13" s="98">
        <f t="shared" si="10"/>
        <v>13068</v>
      </c>
      <c r="AF13" s="97">
        <f t="shared" si="11"/>
        <v>3578</v>
      </c>
      <c r="AG13" s="98">
        <f t="shared" si="12"/>
        <v>1089</v>
      </c>
      <c r="AH13" s="98">
        <f t="shared" si="13"/>
        <v>7623</v>
      </c>
      <c r="AI13" s="98">
        <f t="shared" si="14"/>
        <v>3578</v>
      </c>
      <c r="AJ13" s="99">
        <f t="shared" si="15"/>
        <v>0.4693690148235603</v>
      </c>
      <c r="AK13" s="429">
        <f t="shared" si="16"/>
        <v>-4045</v>
      </c>
      <c r="AL13" s="183"/>
      <c r="AM13" s="123"/>
      <c r="AN13" s="18"/>
      <c r="AO13" s="6"/>
      <c r="AP13" s="5"/>
      <c r="AQ13" s="57"/>
    </row>
    <row r="14" spans="1:43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0</v>
      </c>
      <c r="P14" s="73">
        <f>REMC!DV11</f>
        <v>0</v>
      </c>
      <c r="Q14" s="73">
        <f>REMC!DW11</f>
        <v>0</v>
      </c>
      <c r="R14" s="73">
        <f>REMC!DX11</f>
        <v>0</v>
      </c>
      <c r="S14" s="73">
        <f>REMC!DY11</f>
        <v>0</v>
      </c>
      <c r="T14" s="526">
        <f t="shared" si="1"/>
        <v>122</v>
      </c>
      <c r="U14" s="567">
        <f>meta10a!N14</f>
        <v>22</v>
      </c>
      <c r="V14" s="528">
        <f t="shared" si="2"/>
        <v>5.5454545454545459</v>
      </c>
      <c r="W14" s="208">
        <f t="shared" si="3"/>
        <v>6</v>
      </c>
      <c r="X14" s="208">
        <f t="shared" si="4"/>
        <v>3</v>
      </c>
      <c r="Y14" s="113">
        <f t="shared" si="0"/>
        <v>1</v>
      </c>
      <c r="Z14" s="71">
        <f t="shared" si="5"/>
        <v>1.32E-2</v>
      </c>
      <c r="AA14" s="95">
        <f t="shared" si="6"/>
        <v>6</v>
      </c>
      <c r="AB14" s="95">
        <f t="shared" si="7"/>
        <v>5.5454545454545459</v>
      </c>
      <c r="AC14" s="96">
        <f t="shared" si="8"/>
        <v>0.92424242424242431</v>
      </c>
      <c r="AD14" s="97">
        <f t="shared" si="9"/>
        <v>22</v>
      </c>
      <c r="AE14" s="98">
        <f t="shared" si="10"/>
        <v>132</v>
      </c>
      <c r="AF14" s="97">
        <f t="shared" si="11"/>
        <v>122</v>
      </c>
      <c r="AG14" s="98">
        <f t="shared" si="12"/>
        <v>11</v>
      </c>
      <c r="AH14" s="98">
        <f t="shared" si="13"/>
        <v>77</v>
      </c>
      <c r="AI14" s="98">
        <f t="shared" si="14"/>
        <v>122</v>
      </c>
      <c r="AJ14" s="99">
        <f t="shared" si="15"/>
        <v>1.5844155844155845</v>
      </c>
      <c r="AK14" s="429">
        <f t="shared" si="16"/>
        <v>45</v>
      </c>
      <c r="AL14" s="183"/>
      <c r="AM14" s="123"/>
      <c r="AN14" s="18"/>
      <c r="AO14" s="6"/>
      <c r="AP14" s="5"/>
      <c r="AQ14" s="57"/>
    </row>
    <row r="15" spans="1:43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REMC!DN12</f>
        <v>189</v>
      </c>
      <c r="I15" s="114">
        <f>REMC!DO12</f>
        <v>67</v>
      </c>
      <c r="J15" s="114">
        <f>REMC!DP12</f>
        <v>163</v>
      </c>
      <c r="K15" s="114">
        <f>REMC!DQ12</f>
        <v>181</v>
      </c>
      <c r="L15" s="114">
        <f>REMC!DR12</f>
        <v>150</v>
      </c>
      <c r="M15" s="114">
        <f>REMC!DS12</f>
        <v>115</v>
      </c>
      <c r="N15" s="114">
        <f>REMC!DT12</f>
        <v>126</v>
      </c>
      <c r="O15" s="114">
        <f>REMC!DU12</f>
        <v>0</v>
      </c>
      <c r="P15" s="114">
        <f>REMC!DV12</f>
        <v>0</v>
      </c>
      <c r="Q15" s="114">
        <f>REMC!DW12</f>
        <v>0</v>
      </c>
      <c r="R15" s="114">
        <f>REMC!DX12</f>
        <v>0</v>
      </c>
      <c r="S15" s="114">
        <f>REMC!DY12</f>
        <v>0</v>
      </c>
      <c r="T15" s="556">
        <f t="shared" si="1"/>
        <v>991</v>
      </c>
      <c r="U15" s="567">
        <f>meta10a!N15</f>
        <v>474</v>
      </c>
      <c r="V15" s="528">
        <f t="shared" si="2"/>
        <v>2.090717299578059</v>
      </c>
      <c r="W15" s="208">
        <f t="shared" si="3"/>
        <v>6</v>
      </c>
      <c r="X15" s="208">
        <f t="shared" si="4"/>
        <v>3</v>
      </c>
      <c r="Y15" s="116">
        <f t="shared" si="0"/>
        <v>0.69690576652601965</v>
      </c>
      <c r="Z15" s="71">
        <f t="shared" si="5"/>
        <v>9.1991561181434603E-3</v>
      </c>
      <c r="AA15" s="557">
        <f t="shared" si="6"/>
        <v>6</v>
      </c>
      <c r="AB15" s="557">
        <f t="shared" si="7"/>
        <v>2.090717299578059</v>
      </c>
      <c r="AC15" s="558">
        <f t="shared" si="8"/>
        <v>0.34845288326300983</v>
      </c>
      <c r="AD15" s="97">
        <f t="shared" si="9"/>
        <v>474</v>
      </c>
      <c r="AE15" s="98">
        <f t="shared" si="10"/>
        <v>2844</v>
      </c>
      <c r="AF15" s="97">
        <f t="shared" si="11"/>
        <v>991</v>
      </c>
      <c r="AG15" s="98">
        <f t="shared" si="12"/>
        <v>237</v>
      </c>
      <c r="AH15" s="98">
        <f t="shared" si="13"/>
        <v>1659</v>
      </c>
      <c r="AI15" s="98">
        <f t="shared" si="14"/>
        <v>991</v>
      </c>
      <c r="AJ15" s="544">
        <f t="shared" si="15"/>
        <v>0.59734779987944542</v>
      </c>
      <c r="AK15" s="429">
        <f t="shared" si="16"/>
        <v>-668</v>
      </c>
      <c r="AL15" s="183"/>
      <c r="AM15" s="123"/>
      <c r="AN15" s="18"/>
      <c r="AO15" s="6"/>
      <c r="AP15" s="5"/>
      <c r="AQ15" s="57"/>
    </row>
    <row r="16" spans="1:43" s="193" customFormat="1" ht="15" customHeight="1" thickBot="1" x14ac:dyDescent="0.35">
      <c r="A16"/>
      <c r="B16"/>
      <c r="C16" s="64"/>
      <c r="D16" s="65"/>
      <c r="E16" s="66"/>
      <c r="F16" s="106"/>
      <c r="G16" s="559" t="s">
        <v>15</v>
      </c>
      <c r="H16" s="85">
        <f>SUM(H9:H15)</f>
        <v>3412</v>
      </c>
      <c r="I16" s="85">
        <f t="shared" ref="I16:S16" si="17">SUM(I9:I15)</f>
        <v>2531</v>
      </c>
      <c r="J16" s="85">
        <f t="shared" si="17"/>
        <v>3498</v>
      </c>
      <c r="K16" s="85">
        <f t="shared" si="17"/>
        <v>3518</v>
      </c>
      <c r="L16" s="85">
        <f t="shared" si="17"/>
        <v>3528</v>
      </c>
      <c r="M16" s="85">
        <f t="shared" si="17"/>
        <v>3403</v>
      </c>
      <c r="N16" s="85">
        <f t="shared" si="17"/>
        <v>4158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60">
        <f t="shared" si="1"/>
        <v>24048</v>
      </c>
      <c r="U16" s="561">
        <f>SUM(U9:U15)</f>
        <v>9077</v>
      </c>
      <c r="V16" s="212">
        <f t="shared" si="2"/>
        <v>2.6493334802247439</v>
      </c>
      <c r="W16" s="562">
        <f t="shared" si="3"/>
        <v>6</v>
      </c>
      <c r="X16" s="562">
        <f t="shared" si="4"/>
        <v>3</v>
      </c>
      <c r="Y16" s="510">
        <f t="shared" si="0"/>
        <v>0.88311116007491464</v>
      </c>
      <c r="Z16" s="71">
        <f t="shared" si="5"/>
        <v>1.1657067312988873E-2</v>
      </c>
      <c r="AA16" s="563">
        <f t="shared" si="6"/>
        <v>6</v>
      </c>
      <c r="AB16" s="563">
        <f t="shared" si="7"/>
        <v>2.6493334802247439</v>
      </c>
      <c r="AC16" s="564">
        <f t="shared" si="8"/>
        <v>0.44155558003745732</v>
      </c>
      <c r="AD16" s="547">
        <f t="shared" si="9"/>
        <v>9077</v>
      </c>
      <c r="AE16" s="548">
        <f t="shared" si="10"/>
        <v>54462</v>
      </c>
      <c r="AF16" s="547">
        <f t="shared" si="11"/>
        <v>24048</v>
      </c>
      <c r="AG16" s="98">
        <f t="shared" si="12"/>
        <v>4538.5</v>
      </c>
      <c r="AH16" s="548">
        <f t="shared" si="13"/>
        <v>31769.5</v>
      </c>
      <c r="AI16" s="548">
        <f t="shared" si="14"/>
        <v>24048</v>
      </c>
      <c r="AJ16" s="549">
        <f t="shared" si="15"/>
        <v>0.75695242292135534</v>
      </c>
      <c r="AK16" s="429">
        <f t="shared" si="16"/>
        <v>-7721.5</v>
      </c>
      <c r="AL16" s="183"/>
      <c r="AM16" s="123"/>
      <c r="AN16" s="18"/>
      <c r="AO16" s="6"/>
      <c r="AP16" s="5"/>
      <c r="AQ16" s="57"/>
    </row>
    <row r="17" spans="1:43" s="193" customFormat="1" x14ac:dyDescent="0.25">
      <c r="A17" s="5"/>
      <c r="B17" s="5"/>
      <c r="C17" s="5"/>
      <c r="D17" s="5"/>
      <c r="E17" s="6"/>
      <c r="F17" s="103"/>
      <c r="V17" s="191"/>
      <c r="W17" s="210"/>
      <c r="X17" s="211"/>
      <c r="Z17" s="196"/>
      <c r="AA17" s="196"/>
      <c r="AB17" s="196"/>
      <c r="AC17" s="196"/>
      <c r="AD17" s="196"/>
      <c r="AE17" s="196"/>
      <c r="AF17" s="196"/>
      <c r="AG17" s="196"/>
      <c r="AH17" s="209"/>
      <c r="AI17" s="196"/>
      <c r="AJ17" s="57"/>
      <c r="AK17" s="18"/>
      <c r="AL17" s="18"/>
      <c r="AM17" s="57"/>
      <c r="AN17" s="5"/>
      <c r="AO17" s="5"/>
      <c r="AP17" s="5"/>
      <c r="AQ17" s="57"/>
    </row>
    <row r="18" spans="1:43" s="193" customFormat="1" x14ac:dyDescent="0.25">
      <c r="A18" s="5"/>
      <c r="B18" s="5"/>
      <c r="C18" s="5"/>
      <c r="D18" s="5"/>
      <c r="E18" s="6"/>
      <c r="F18" s="103"/>
      <c r="V18" s="191"/>
      <c r="W18" s="210"/>
      <c r="X18" s="211"/>
      <c r="Z18" s="196"/>
      <c r="AA18" s="196"/>
      <c r="AB18" s="196"/>
      <c r="AC18" s="196"/>
      <c r="AD18" s="196"/>
      <c r="AE18" s="196"/>
      <c r="AF18" s="196"/>
      <c r="AG18" s="196"/>
      <c r="AH18" s="209"/>
      <c r="AI18" s="196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3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3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J35" sqref="J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3"/>
    </row>
    <row r="2" spans="1:25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  <c r="O2" s="3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64" t="s">
        <v>472</v>
      </c>
      <c r="I4" s="865"/>
      <c r="J4" s="865"/>
      <c r="K4" s="865"/>
      <c r="L4" s="865"/>
      <c r="M4" s="865"/>
      <c r="N4" s="866"/>
      <c r="O4" s="5"/>
      <c r="R4" s="6"/>
      <c r="U4" s="88" t="s">
        <v>46</v>
      </c>
      <c r="V4" s="89">
        <f>meta3!AB2</f>
        <v>7</v>
      </c>
      <c r="W4" s="6"/>
    </row>
    <row r="5" spans="1:25" ht="23.25" customHeight="1" thickBot="1" x14ac:dyDescent="0.3">
      <c r="G5" s="58"/>
      <c r="H5" s="955"/>
      <c r="I5" s="880"/>
      <c r="J5" s="880"/>
      <c r="K5" s="880"/>
      <c r="L5" s="880"/>
      <c r="M5" s="880"/>
      <c r="N5" s="881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6" t="s">
        <v>431</v>
      </c>
      <c r="H7" s="10" t="s">
        <v>125</v>
      </c>
      <c r="I7" s="11" t="s">
        <v>126</v>
      </c>
      <c r="J7" s="871"/>
      <c r="K7" s="12" t="s">
        <v>11</v>
      </c>
      <c r="L7" s="63" t="s">
        <v>43</v>
      </c>
      <c r="M7" s="14" t="s">
        <v>13</v>
      </c>
      <c r="N7" s="14" t="s">
        <v>82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5" customHeight="1" x14ac:dyDescent="0.3">
      <c r="A8" s="214"/>
      <c r="B8" s="214"/>
      <c r="C8" s="64"/>
      <c r="D8" s="65"/>
      <c r="E8" s="66"/>
      <c r="F8" s="106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5">
        <f t="shared" ref="M8" si="2">IF(+J8/L8&gt;1,1,+J8/L8)</f>
        <v>1</v>
      </c>
      <c r="N8" s="77">
        <f t="shared" ref="N8" si="3">+M8*5.21/100</f>
        <v>5.21E-2</v>
      </c>
      <c r="O8" s="146">
        <f>K8</f>
        <v>0.85</v>
      </c>
      <c r="P8" s="146">
        <f>(T8/R8)</f>
        <v>0.9936526549236534</v>
      </c>
      <c r="Q8" s="147">
        <f>P8/O8</f>
        <v>1.1690031234395923</v>
      </c>
      <c r="R8" s="97">
        <f>I8</f>
        <v>47074.8</v>
      </c>
      <c r="S8" s="98">
        <f>R8*O8</f>
        <v>40013.58</v>
      </c>
      <c r="T8" s="97">
        <f>H8</f>
        <v>46776</v>
      </c>
      <c r="U8" s="98">
        <f>S8/$V$3</f>
        <v>3334.4650000000001</v>
      </c>
      <c r="V8" s="98">
        <f>U8*V4</f>
        <v>23341.255000000001</v>
      </c>
      <c r="W8" s="98">
        <f>H8</f>
        <v>46776</v>
      </c>
      <c r="X8" s="99">
        <f>W8/V8</f>
        <v>2.0040053544678722</v>
      </c>
      <c r="Y8" s="100">
        <f>V8-W8</f>
        <v>-23434.744999999999</v>
      </c>
    </row>
    <row r="9" spans="1:25" ht="18" customHeight="1" x14ac:dyDescent="0.25">
      <c r="K9" s="57"/>
      <c r="N9" s="57"/>
      <c r="O9" s="122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1">
        <f>IF(+J10/L10&gt;1,1,+J10/L10)</f>
        <v>1</v>
      </c>
      <c r="N10" s="71">
        <f t="shared" ref="N10:N13" si="5">+M10*5.21/100</f>
        <v>5.21E-2</v>
      </c>
      <c r="O10" s="122"/>
      <c r="P10" s="123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5">
        <f>IF(+J11/L11&gt;1,1,+J11/L11)</f>
        <v>1</v>
      </c>
      <c r="N11" s="77">
        <f t="shared" si="5"/>
        <v>5.21E-2</v>
      </c>
      <c r="O11" s="122"/>
      <c r="P11" s="123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5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8">
        <f>IF(+J13/L13&gt;1,1,+J13/L13)</f>
        <v>1</v>
      </c>
      <c r="N13" s="84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5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T13" sqref="T1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862"/>
      <c r="AF2" s="862"/>
      <c r="AG2" s="862"/>
      <c r="AH2" s="862"/>
      <c r="AI2" s="863" t="str">
        <f>+NOMBRE!B7</f>
        <v>ENERO - JULIO 2024</v>
      </c>
      <c r="AJ2" s="863"/>
      <c r="AK2" s="863"/>
      <c r="AL2" s="863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879" t="s">
        <v>471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6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0" ht="33" customHeight="1" thickBot="1" x14ac:dyDescent="0.3">
      <c r="G5" s="58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8"/>
      <c r="AL5" s="869"/>
      <c r="AM5" s="5"/>
      <c r="AN5" s="5"/>
      <c r="AP5" s="6"/>
      <c r="AR5" s="5"/>
      <c r="AS5" s="88" t="s">
        <v>46</v>
      </c>
      <c r="AT5" s="89">
        <f>meta3!AB2</f>
        <v>7</v>
      </c>
      <c r="AU5" s="6"/>
      <c r="AW5" s="5"/>
    </row>
    <row r="6" spans="1:50" ht="22.5" customHeight="1" thickBot="1" x14ac:dyDescent="0.3">
      <c r="G6" s="58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89"/>
      <c r="V6" s="889"/>
      <c r="W6" s="889"/>
      <c r="X6" s="889"/>
      <c r="Y6" s="889"/>
      <c r="Z6" s="889"/>
      <c r="AA6" s="889"/>
      <c r="AB6" s="889"/>
      <c r="AC6" s="889"/>
      <c r="AD6" s="889"/>
      <c r="AE6" s="889"/>
      <c r="AF6" s="889"/>
      <c r="AG6" s="890"/>
      <c r="AH6" s="870" t="s">
        <v>6</v>
      </c>
      <c r="AI6" s="872">
        <f>+NOMBRE!$B$9</f>
        <v>2024</v>
      </c>
      <c r="AJ6" s="873"/>
      <c r="AK6" s="874" t="s">
        <v>7</v>
      </c>
      <c r="AL6" s="875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0" ht="99.75" thickBot="1" x14ac:dyDescent="0.3">
      <c r="G7" s="606" t="s">
        <v>431</v>
      </c>
      <c r="H7" s="877" t="s">
        <v>439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8"/>
      <c r="U7" s="877" t="s">
        <v>127</v>
      </c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8"/>
      <c r="AH7" s="956"/>
      <c r="AI7" s="12" t="s">
        <v>11</v>
      </c>
      <c r="AJ7" s="12" t="s">
        <v>12</v>
      </c>
      <c r="AK7" s="14" t="s">
        <v>13</v>
      </c>
      <c r="AL7" s="14" t="s">
        <v>506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</row>
    <row r="8" spans="1:50" ht="18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51" t="s">
        <v>189</v>
      </c>
      <c r="V8" s="451" t="s">
        <v>190</v>
      </c>
      <c r="W8" s="451" t="s">
        <v>191</v>
      </c>
      <c r="X8" s="451" t="s">
        <v>192</v>
      </c>
      <c r="Y8" s="451" t="s">
        <v>193</v>
      </c>
      <c r="Z8" s="451" t="s">
        <v>194</v>
      </c>
      <c r="AA8" s="451" t="s">
        <v>195</v>
      </c>
      <c r="AB8" s="451" t="s">
        <v>196</v>
      </c>
      <c r="AC8" s="451" t="s">
        <v>423</v>
      </c>
      <c r="AD8" s="451" t="s">
        <v>198</v>
      </c>
      <c r="AE8" s="451" t="s">
        <v>199</v>
      </c>
      <c r="AF8" s="451" t="s">
        <v>200</v>
      </c>
      <c r="AG8" s="452" t="s">
        <v>201</v>
      </c>
      <c r="AH8" s="648"/>
      <c r="AI8" s="652">
        <f>indicadores!E35</f>
        <v>0.90710000000000002</v>
      </c>
      <c r="AJ8" s="443">
        <v>1</v>
      </c>
      <c r="AK8" s="119"/>
      <c r="AL8" s="442">
        <v>6.59</v>
      </c>
      <c r="AM8" s="94" t="s">
        <v>68</v>
      </c>
      <c r="AN8" s="94" t="s">
        <v>69</v>
      </c>
      <c r="AO8" s="94" t="s">
        <v>70</v>
      </c>
      <c r="AP8" s="94" t="s">
        <v>71</v>
      </c>
      <c r="AQ8" s="94" t="s">
        <v>72</v>
      </c>
      <c r="AR8" s="94" t="s">
        <v>73</v>
      </c>
      <c r="AS8" s="94" t="s">
        <v>74</v>
      </c>
      <c r="AT8" s="94" t="s">
        <v>75</v>
      </c>
      <c r="AU8" s="94" t="s">
        <v>76</v>
      </c>
      <c r="AV8" s="94" t="s">
        <v>77</v>
      </c>
      <c r="AW8" s="94" t="s">
        <v>78</v>
      </c>
    </row>
    <row r="9" spans="1:50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19</v>
      </c>
      <c r="O9" s="33">
        <f>REMA!BG6</f>
        <v>0</v>
      </c>
      <c r="P9" s="33">
        <f>REMA!BH6</f>
        <v>0</v>
      </c>
      <c r="Q9" s="33">
        <f>REMA!BI6</f>
        <v>0</v>
      </c>
      <c r="R9" s="33">
        <f>REMA!BJ6</f>
        <v>0</v>
      </c>
      <c r="S9" s="33">
        <f>REMA!BK6</f>
        <v>0</v>
      </c>
      <c r="T9" s="529">
        <f>SUM(H9:S9)</f>
        <v>142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0</v>
      </c>
      <c r="AC9" s="33">
        <f>REMA!BV6</f>
        <v>0</v>
      </c>
      <c r="AD9" s="33">
        <f>REMA!BW6</f>
        <v>0</v>
      </c>
      <c r="AE9" s="33">
        <f>REMA!BX6</f>
        <v>0</v>
      </c>
      <c r="AF9" s="33">
        <f>REMA!BY6</f>
        <v>0</v>
      </c>
      <c r="AG9" s="550">
        <f>SUM(U9:AF9)</f>
        <v>148</v>
      </c>
      <c r="AH9" s="45">
        <f t="shared" ref="AH9:AH16" si="0">IF(AG9=0,0,+T9/AG9)</f>
        <v>0.95945945945945943</v>
      </c>
      <c r="AI9" s="37">
        <f>AI8</f>
        <v>0.90710000000000002</v>
      </c>
      <c r="AJ9" s="37">
        <f>+AI9*$AJ$8</f>
        <v>0.90710000000000002</v>
      </c>
      <c r="AK9" s="110">
        <f t="shared" ref="AK9:AK16" si="1">IF(+AH9/AJ9&gt;1,1,+AH9/AJ9)</f>
        <v>1</v>
      </c>
      <c r="AL9" s="71">
        <f>+AK9*$AL$8/100</f>
        <v>6.59E-2</v>
      </c>
      <c r="AM9" s="146">
        <f>$AI$9</f>
        <v>0.90710000000000002</v>
      </c>
      <c r="AN9" s="146">
        <f>(AR9/AP9)</f>
        <v>0.95945945945945943</v>
      </c>
      <c r="AO9" s="147">
        <f>AN9/AM9</f>
        <v>1.0577218161828459</v>
      </c>
      <c r="AP9" s="97">
        <f>AG9</f>
        <v>148</v>
      </c>
      <c r="AQ9" s="98">
        <f>AP9*AM9</f>
        <v>134.2508</v>
      </c>
      <c r="AR9" s="97">
        <f t="shared" ref="AR9:AR16" si="2">T9</f>
        <v>142</v>
      </c>
      <c r="AS9" s="98">
        <f>AQ9/$AT$4</f>
        <v>11.187566666666667</v>
      </c>
      <c r="AT9" s="98">
        <f>AS9*$AT$5</f>
        <v>78.312966666666668</v>
      </c>
      <c r="AU9" s="98">
        <f t="shared" ref="AU9:AU16" si="3">T9</f>
        <v>142</v>
      </c>
      <c r="AV9" s="99">
        <f>AU9/AT9</f>
        <v>1.8132373991705928</v>
      </c>
      <c r="AW9" s="429">
        <f>(AT9-AU9)*-1</f>
        <v>63.687033333333332</v>
      </c>
    </row>
    <row r="10" spans="1:50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21</v>
      </c>
      <c r="O10" s="38">
        <f>REMA!BG7</f>
        <v>0</v>
      </c>
      <c r="P10" s="38">
        <f>REMA!BH7</f>
        <v>0</v>
      </c>
      <c r="Q10" s="38">
        <f>REMA!BI7</f>
        <v>0</v>
      </c>
      <c r="R10" s="38">
        <f>REMA!BJ7</f>
        <v>0</v>
      </c>
      <c r="S10" s="38">
        <f>REMA!BK7</f>
        <v>0</v>
      </c>
      <c r="T10" s="530">
        <f t="shared" ref="T10:T15" si="4">SUM(H10:S10)</f>
        <v>110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0</v>
      </c>
      <c r="AC10" s="38">
        <f>REMA!BV7</f>
        <v>0</v>
      </c>
      <c r="AD10" s="38">
        <f>REMA!BW7</f>
        <v>0</v>
      </c>
      <c r="AE10" s="38">
        <f>REMA!BX7</f>
        <v>0</v>
      </c>
      <c r="AF10" s="38">
        <f>REMA!BY7</f>
        <v>0</v>
      </c>
      <c r="AG10" s="551">
        <f t="shared" ref="AG10:AG15" si="5">SUM(U10:AF10)</f>
        <v>120</v>
      </c>
      <c r="AH10" s="40">
        <f t="shared" si="0"/>
        <v>0.91666666666666663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3">
        <f t="shared" si="1"/>
        <v>1</v>
      </c>
      <c r="AL10" s="71">
        <f t="shared" ref="AL10:AL16" si="8">+AK10*$AL$8/100</f>
        <v>6.59E-2</v>
      </c>
      <c r="AM10" s="146">
        <f t="shared" ref="AM10:AM16" si="9">$AI$9</f>
        <v>0.90710000000000002</v>
      </c>
      <c r="AN10" s="146">
        <f t="shared" ref="AN10:AN16" si="10">(AR10/AP10)</f>
        <v>0.91666666666666663</v>
      </c>
      <c r="AO10" s="147">
        <f t="shared" ref="AO10:AO16" si="11">AN10/AM10</f>
        <v>1.0105464300150662</v>
      </c>
      <c r="AP10" s="97">
        <f t="shared" ref="AP10:AP16" si="12">AG10</f>
        <v>120</v>
      </c>
      <c r="AQ10" s="98">
        <f t="shared" ref="AQ10:AQ16" si="13">AP10*AM10</f>
        <v>108.852</v>
      </c>
      <c r="AR10" s="97">
        <f t="shared" si="2"/>
        <v>110</v>
      </c>
      <c r="AS10" s="98">
        <f t="shared" ref="AS10:AS16" si="14">AQ10/$AT$4</f>
        <v>9.0709999999999997</v>
      </c>
      <c r="AT10" s="98">
        <f t="shared" ref="AT10:AT16" si="15">AS10*$AT$5</f>
        <v>63.497</v>
      </c>
      <c r="AU10" s="98">
        <f t="shared" si="3"/>
        <v>110</v>
      </c>
      <c r="AV10" s="99">
        <f t="shared" ref="AV10:AV16" si="16">AU10/AT10</f>
        <v>1.7323653085972566</v>
      </c>
      <c r="AW10" s="429">
        <f t="shared" ref="AW10:AW16" si="17">(AT10-AU10)*-1</f>
        <v>46.503</v>
      </c>
    </row>
    <row r="11" spans="1:50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8</v>
      </c>
      <c r="O11" s="38">
        <f>REMA!BG8</f>
        <v>0</v>
      </c>
      <c r="P11" s="38">
        <f>REMA!BH8</f>
        <v>0</v>
      </c>
      <c r="Q11" s="38">
        <f>REMA!BI8</f>
        <v>0</v>
      </c>
      <c r="R11" s="38">
        <f>REMA!BJ8</f>
        <v>0</v>
      </c>
      <c r="S11" s="38">
        <f>REMA!BK8</f>
        <v>0</v>
      </c>
      <c r="T11" s="530">
        <f t="shared" si="4"/>
        <v>87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0</v>
      </c>
      <c r="AC11" s="38">
        <f>REMA!BV8</f>
        <v>0</v>
      </c>
      <c r="AD11" s="38">
        <f>REMA!BW8</f>
        <v>0</v>
      </c>
      <c r="AE11" s="38">
        <f>REMA!BX8</f>
        <v>0</v>
      </c>
      <c r="AF11" s="38">
        <f>REMA!BY8</f>
        <v>0</v>
      </c>
      <c r="AG11" s="551">
        <f t="shared" si="5"/>
        <v>101</v>
      </c>
      <c r="AH11" s="40">
        <f t="shared" si="0"/>
        <v>0.86138613861386137</v>
      </c>
      <c r="AI11" s="42">
        <f t="shared" si="6"/>
        <v>0.90710000000000002</v>
      </c>
      <c r="AJ11" s="42">
        <f t="shared" si="7"/>
        <v>0.90710000000000002</v>
      </c>
      <c r="AK11" s="113">
        <f t="shared" si="1"/>
        <v>0.94960438608076436</v>
      </c>
      <c r="AL11" s="71">
        <f t="shared" si="8"/>
        <v>6.2578929042722373E-2</v>
      </c>
      <c r="AM11" s="146">
        <f t="shared" si="9"/>
        <v>0.90710000000000002</v>
      </c>
      <c r="AN11" s="146">
        <f t="shared" si="10"/>
        <v>0.86138613861386137</v>
      </c>
      <c r="AO11" s="147">
        <f t="shared" si="11"/>
        <v>0.94960438608076436</v>
      </c>
      <c r="AP11" s="97">
        <f t="shared" si="12"/>
        <v>101</v>
      </c>
      <c r="AQ11" s="98">
        <f t="shared" si="13"/>
        <v>91.617100000000008</v>
      </c>
      <c r="AR11" s="97">
        <f t="shared" si="2"/>
        <v>87</v>
      </c>
      <c r="AS11" s="98">
        <f t="shared" si="14"/>
        <v>7.634758333333334</v>
      </c>
      <c r="AT11" s="98">
        <f t="shared" si="15"/>
        <v>53.443308333333334</v>
      </c>
      <c r="AU11" s="98">
        <f t="shared" si="3"/>
        <v>87</v>
      </c>
      <c r="AV11" s="99">
        <f t="shared" si="16"/>
        <v>1.6278932332813103</v>
      </c>
      <c r="AW11" s="429">
        <f t="shared" si="17"/>
        <v>33.556691666666666</v>
      </c>
    </row>
    <row r="12" spans="1:50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11</v>
      </c>
      <c r="O12" s="38">
        <f>REMA!BG9</f>
        <v>0</v>
      </c>
      <c r="P12" s="38">
        <f>REMA!BH9</f>
        <v>0</v>
      </c>
      <c r="Q12" s="38">
        <f>REMA!BI9</f>
        <v>0</v>
      </c>
      <c r="R12" s="38">
        <f>REMA!BJ9</f>
        <v>0</v>
      </c>
      <c r="S12" s="38">
        <f>REMA!BK9</f>
        <v>0</v>
      </c>
      <c r="T12" s="530">
        <f t="shared" si="4"/>
        <v>89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0</v>
      </c>
      <c r="AC12" s="38">
        <f>REMA!BV9</f>
        <v>0</v>
      </c>
      <c r="AD12" s="38">
        <f>REMA!BW9</f>
        <v>0</v>
      </c>
      <c r="AE12" s="38">
        <f>REMA!BX9</f>
        <v>0</v>
      </c>
      <c r="AF12" s="38">
        <f>REMA!BY9</f>
        <v>0</v>
      </c>
      <c r="AG12" s="551">
        <f t="shared" si="5"/>
        <v>97</v>
      </c>
      <c r="AH12" s="40">
        <f t="shared" si="0"/>
        <v>0.91752577319587625</v>
      </c>
      <c r="AI12" s="42">
        <f t="shared" si="6"/>
        <v>0.90710000000000002</v>
      </c>
      <c r="AJ12" s="42">
        <f t="shared" si="7"/>
        <v>0.90710000000000002</v>
      </c>
      <c r="AK12" s="113">
        <f t="shared" si="1"/>
        <v>1</v>
      </c>
      <c r="AL12" s="71">
        <f t="shared" si="8"/>
        <v>6.59E-2</v>
      </c>
      <c r="AM12" s="146">
        <f t="shared" si="9"/>
        <v>0.90710000000000002</v>
      </c>
      <c r="AN12" s="146">
        <f t="shared" si="10"/>
        <v>0.91752577319587625</v>
      </c>
      <c r="AO12" s="147">
        <f t="shared" si="11"/>
        <v>1.0114935213271703</v>
      </c>
      <c r="AP12" s="97">
        <f t="shared" si="12"/>
        <v>97</v>
      </c>
      <c r="AQ12" s="98">
        <f t="shared" si="13"/>
        <v>87.988700000000009</v>
      </c>
      <c r="AR12" s="97">
        <f t="shared" si="2"/>
        <v>89</v>
      </c>
      <c r="AS12" s="98">
        <f t="shared" si="14"/>
        <v>7.3323916666666671</v>
      </c>
      <c r="AT12" s="98">
        <f t="shared" si="15"/>
        <v>51.32674166666667</v>
      </c>
      <c r="AU12" s="98">
        <f t="shared" si="3"/>
        <v>89</v>
      </c>
      <c r="AV12" s="99">
        <f t="shared" si="16"/>
        <v>1.7339888937037207</v>
      </c>
      <c r="AW12" s="429">
        <f t="shared" si="17"/>
        <v>37.67325833333333</v>
      </c>
    </row>
    <row r="13" spans="1:50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8</v>
      </c>
      <c r="O13" s="38">
        <f>REMA!BG10</f>
        <v>0</v>
      </c>
      <c r="P13" s="38">
        <f>REMA!BH10</f>
        <v>0</v>
      </c>
      <c r="Q13" s="38">
        <f>REMA!BI10</f>
        <v>0</v>
      </c>
      <c r="R13" s="38">
        <f>REMA!BJ10</f>
        <v>0</v>
      </c>
      <c r="S13" s="38">
        <f>REMA!BK10</f>
        <v>0</v>
      </c>
      <c r="T13" s="530">
        <f t="shared" si="4"/>
        <v>77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0</v>
      </c>
      <c r="AC13" s="38">
        <f>REMA!BV10</f>
        <v>0</v>
      </c>
      <c r="AD13" s="38">
        <f>REMA!BW10</f>
        <v>0</v>
      </c>
      <c r="AE13" s="38">
        <f>REMA!BX10</f>
        <v>0</v>
      </c>
      <c r="AF13" s="38">
        <f>REMA!BY10</f>
        <v>0</v>
      </c>
      <c r="AG13" s="551">
        <f t="shared" si="5"/>
        <v>91</v>
      </c>
      <c r="AH13" s="40">
        <f t="shared" si="0"/>
        <v>0.84615384615384615</v>
      </c>
      <c r="AI13" s="42">
        <f t="shared" si="6"/>
        <v>0.90710000000000002</v>
      </c>
      <c r="AJ13" s="42">
        <f t="shared" si="7"/>
        <v>0.90710000000000002</v>
      </c>
      <c r="AK13" s="113">
        <f t="shared" si="1"/>
        <v>0.93281208924467662</v>
      </c>
      <c r="AL13" s="71">
        <f t="shared" si="8"/>
        <v>6.1472316681224187E-2</v>
      </c>
      <c r="AM13" s="146">
        <f t="shared" si="9"/>
        <v>0.90710000000000002</v>
      </c>
      <c r="AN13" s="146">
        <f t="shared" si="10"/>
        <v>0.84615384615384615</v>
      </c>
      <c r="AO13" s="147">
        <f t="shared" si="11"/>
        <v>0.93281208924467662</v>
      </c>
      <c r="AP13" s="97">
        <f t="shared" si="12"/>
        <v>91</v>
      </c>
      <c r="AQ13" s="98">
        <f t="shared" si="13"/>
        <v>82.546099999999996</v>
      </c>
      <c r="AR13" s="97">
        <f t="shared" si="2"/>
        <v>77</v>
      </c>
      <c r="AS13" s="98">
        <f t="shared" si="14"/>
        <v>6.8788416666666663</v>
      </c>
      <c r="AT13" s="98">
        <f t="shared" si="15"/>
        <v>48.151891666666664</v>
      </c>
      <c r="AU13" s="98">
        <f t="shared" si="3"/>
        <v>77</v>
      </c>
      <c r="AV13" s="99">
        <f t="shared" si="16"/>
        <v>1.5991064387051599</v>
      </c>
      <c r="AW13" s="429">
        <f t="shared" si="17"/>
        <v>28.848108333333336</v>
      </c>
    </row>
    <row r="14" spans="1:50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30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51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3">
        <f t="shared" si="1"/>
        <v>1</v>
      </c>
      <c r="AL14" s="71">
        <f t="shared" si="8"/>
        <v>6.59E-2</v>
      </c>
      <c r="AM14" s="146">
        <f t="shared" si="9"/>
        <v>0.90710000000000002</v>
      </c>
      <c r="AN14" s="146">
        <f t="shared" si="10"/>
        <v>1</v>
      </c>
      <c r="AO14" s="147">
        <f t="shared" si="11"/>
        <v>1.1024142872891634</v>
      </c>
      <c r="AP14" s="97">
        <f t="shared" si="12"/>
        <v>1</v>
      </c>
      <c r="AQ14" s="98">
        <f t="shared" si="13"/>
        <v>0.90710000000000002</v>
      </c>
      <c r="AR14" s="97">
        <f t="shared" si="2"/>
        <v>1</v>
      </c>
      <c r="AS14" s="98">
        <f t="shared" si="14"/>
        <v>7.5591666666666668E-2</v>
      </c>
      <c r="AT14" s="98">
        <f t="shared" si="15"/>
        <v>0.52914166666666662</v>
      </c>
      <c r="AU14" s="98">
        <f t="shared" si="3"/>
        <v>1</v>
      </c>
      <c r="AV14" s="99">
        <f t="shared" si="16"/>
        <v>1.8898530639242801</v>
      </c>
      <c r="AW14" s="429">
        <f t="shared" si="17"/>
        <v>0.47085833333333338</v>
      </c>
    </row>
    <row r="15" spans="1:50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2</v>
      </c>
      <c r="O15" s="52">
        <f>REMA!BG12</f>
        <v>0</v>
      </c>
      <c r="P15" s="52">
        <f>REMA!BH12</f>
        <v>0</v>
      </c>
      <c r="Q15" s="52">
        <f>REMA!BI12</f>
        <v>0</v>
      </c>
      <c r="R15" s="52">
        <f>REMA!BJ12</f>
        <v>0</v>
      </c>
      <c r="S15" s="52">
        <f>REMA!BK12</f>
        <v>0</v>
      </c>
      <c r="T15" s="552">
        <f t="shared" si="4"/>
        <v>8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0</v>
      </c>
      <c r="AC15" s="52">
        <f>REMA!BV12</f>
        <v>0</v>
      </c>
      <c r="AD15" s="52">
        <f>REMA!BW12</f>
        <v>0</v>
      </c>
      <c r="AE15" s="52">
        <f>REMA!BX12</f>
        <v>0</v>
      </c>
      <c r="AF15" s="52">
        <f>REMA!BY12</f>
        <v>0</v>
      </c>
      <c r="AG15" s="553">
        <f t="shared" si="5"/>
        <v>15</v>
      </c>
      <c r="AH15" s="54">
        <f t="shared" si="0"/>
        <v>0.53333333333333333</v>
      </c>
      <c r="AI15" s="55">
        <f t="shared" si="6"/>
        <v>0.90710000000000002</v>
      </c>
      <c r="AJ15" s="55">
        <f t="shared" si="7"/>
        <v>0.90710000000000002</v>
      </c>
      <c r="AK15" s="116">
        <f t="shared" si="1"/>
        <v>0.58795428655422044</v>
      </c>
      <c r="AL15" s="71">
        <f t="shared" si="8"/>
        <v>3.8746187483923125E-2</v>
      </c>
      <c r="AM15" s="542">
        <f t="shared" si="9"/>
        <v>0.90710000000000002</v>
      </c>
      <c r="AN15" s="542">
        <f t="shared" si="10"/>
        <v>0.53333333333333333</v>
      </c>
      <c r="AO15" s="543">
        <f t="shared" si="11"/>
        <v>0.58795428655422044</v>
      </c>
      <c r="AP15" s="97">
        <f t="shared" si="12"/>
        <v>15</v>
      </c>
      <c r="AQ15" s="98">
        <f t="shared" si="13"/>
        <v>13.6065</v>
      </c>
      <c r="AR15" s="97">
        <f t="shared" si="2"/>
        <v>8</v>
      </c>
      <c r="AS15" s="98">
        <f t="shared" si="14"/>
        <v>1.133875</v>
      </c>
      <c r="AT15" s="98">
        <f t="shared" si="15"/>
        <v>7.937125</v>
      </c>
      <c r="AU15" s="98">
        <f t="shared" si="3"/>
        <v>8</v>
      </c>
      <c r="AV15" s="544">
        <f t="shared" si="16"/>
        <v>1.0079216340929493</v>
      </c>
      <c r="AW15" s="429">
        <f t="shared" si="17"/>
        <v>6.2875000000000014E-2</v>
      </c>
    </row>
    <row r="16" spans="1:50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69</v>
      </c>
      <c r="O16" s="30">
        <f t="shared" si="18"/>
        <v>0</v>
      </c>
      <c r="P16" s="30">
        <f t="shared" si="18"/>
        <v>0</v>
      </c>
      <c r="Q16" s="30">
        <f t="shared" si="18"/>
        <v>0</v>
      </c>
      <c r="R16" s="30">
        <f t="shared" si="18"/>
        <v>0</v>
      </c>
      <c r="S16" s="30">
        <f t="shared" si="18"/>
        <v>0</v>
      </c>
      <c r="T16" s="554">
        <f t="shared" si="18"/>
        <v>514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0</v>
      </c>
      <c r="AC16" s="30">
        <f t="shared" si="19"/>
        <v>0</v>
      </c>
      <c r="AD16" s="30">
        <f t="shared" si="19"/>
        <v>0</v>
      </c>
      <c r="AE16" s="30">
        <f t="shared" si="19"/>
        <v>0</v>
      </c>
      <c r="AF16" s="30">
        <f t="shared" si="19"/>
        <v>0</v>
      </c>
      <c r="AG16" s="555">
        <f t="shared" si="19"/>
        <v>573</v>
      </c>
      <c r="AH16" s="478">
        <f t="shared" si="0"/>
        <v>0.89703315881326351</v>
      </c>
      <c r="AI16" s="509">
        <f t="shared" si="6"/>
        <v>0.90710000000000002</v>
      </c>
      <c r="AJ16" s="509">
        <f t="shared" si="7"/>
        <v>0.90710000000000002</v>
      </c>
      <c r="AK16" s="510">
        <f t="shared" si="1"/>
        <v>0.98890217044787065</v>
      </c>
      <c r="AL16" s="71">
        <f t="shared" si="8"/>
        <v>6.5168653032514678E-2</v>
      </c>
      <c r="AM16" s="545">
        <f t="shared" si="9"/>
        <v>0.90710000000000002</v>
      </c>
      <c r="AN16" s="545">
        <f t="shared" si="10"/>
        <v>0.89703315881326351</v>
      </c>
      <c r="AO16" s="546">
        <f t="shared" si="11"/>
        <v>0.98890217044787065</v>
      </c>
      <c r="AP16" s="547">
        <f t="shared" si="12"/>
        <v>573</v>
      </c>
      <c r="AQ16" s="548">
        <f t="shared" si="13"/>
        <v>519.76829999999995</v>
      </c>
      <c r="AR16" s="547">
        <f t="shared" si="2"/>
        <v>514</v>
      </c>
      <c r="AS16" s="98">
        <f t="shared" si="14"/>
        <v>43.314024999999994</v>
      </c>
      <c r="AT16" s="548">
        <f t="shared" si="15"/>
        <v>303.19817499999994</v>
      </c>
      <c r="AU16" s="548">
        <f t="shared" si="3"/>
        <v>514</v>
      </c>
      <c r="AV16" s="549">
        <f t="shared" si="16"/>
        <v>1.6952608636249216</v>
      </c>
      <c r="AW16" s="429">
        <f t="shared" si="17"/>
        <v>210.80182500000006</v>
      </c>
    </row>
    <row r="17" spans="3:40" x14ac:dyDescent="0.25">
      <c r="C17" s="64"/>
      <c r="D17" s="65"/>
      <c r="AI17" s="57"/>
      <c r="AM17" s="122"/>
      <c r="AN17" s="122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Z45"/>
  <sheetViews>
    <sheetView zoomScale="85" zoomScaleNormal="85" workbookViewId="0">
      <selection activeCell="T24" sqref="T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9" width="25.140625" style="5" customWidth="1"/>
    <col min="10" max="10" width="22.28515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12.7109375" style="57" customWidth="1"/>
    <col min="17" max="26" width="12.7109375" style="5" customWidth="1"/>
    <col min="27" max="16384" width="11.42578125" style="5"/>
  </cols>
  <sheetData>
    <row r="1" spans="1:26" s="2" customFormat="1" ht="21.7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</row>
    <row r="2" spans="1:26" s="2" customFormat="1" ht="63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</row>
    <row r="3" spans="1:26" ht="39.75" customHeight="1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45" customHeight="1" x14ac:dyDescent="0.25">
      <c r="G4" s="58"/>
      <c r="H4" s="864" t="s">
        <v>507</v>
      </c>
      <c r="I4" s="879"/>
      <c r="J4" s="865"/>
      <c r="K4" s="865"/>
      <c r="L4" s="865"/>
      <c r="M4" s="865"/>
      <c r="N4" s="865"/>
      <c r="O4" s="866"/>
      <c r="P4" s="5"/>
      <c r="S4" s="6"/>
      <c r="V4" s="88" t="s">
        <v>46</v>
      </c>
      <c r="W4" s="89">
        <f>meta3!AB2</f>
        <v>7</v>
      </c>
      <c r="X4" s="6"/>
    </row>
    <row r="5" spans="1:26" ht="45" customHeight="1" thickBot="1" x14ac:dyDescent="0.3">
      <c r="G5" s="58"/>
      <c r="H5" s="955"/>
      <c r="I5" s="957"/>
      <c r="J5" s="880"/>
      <c r="K5" s="880"/>
      <c r="L5" s="880"/>
      <c r="M5" s="880"/>
      <c r="N5" s="880"/>
      <c r="O5" s="881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9.5" customHeight="1" thickBot="1" x14ac:dyDescent="0.3">
      <c r="G6" s="59"/>
      <c r="H6" s="60" t="s">
        <v>4</v>
      </c>
      <c r="I6" s="786" t="s">
        <v>4</v>
      </c>
      <c r="J6" s="61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532" t="s">
        <v>57</v>
      </c>
      <c r="Q6" s="532" t="s">
        <v>58</v>
      </c>
      <c r="R6" s="532" t="s">
        <v>59</v>
      </c>
      <c r="S6" s="533" t="s">
        <v>60</v>
      </c>
      <c r="T6" s="533" t="s">
        <v>61</v>
      </c>
      <c r="U6" s="533" t="s">
        <v>62</v>
      </c>
      <c r="V6" s="533" t="s">
        <v>63</v>
      </c>
      <c r="W6" s="533" t="s">
        <v>64</v>
      </c>
      <c r="X6" s="533" t="s">
        <v>65</v>
      </c>
      <c r="Y6" s="534" t="s">
        <v>66</v>
      </c>
      <c r="Z6" s="534" t="s">
        <v>67</v>
      </c>
    </row>
    <row r="7" spans="1:26" ht="66" customHeight="1" thickBot="1" x14ac:dyDescent="0.3">
      <c r="G7" s="606" t="s">
        <v>431</v>
      </c>
      <c r="H7" s="10" t="s">
        <v>128</v>
      </c>
      <c r="I7" s="785" t="s">
        <v>128</v>
      </c>
      <c r="J7" s="11" t="s">
        <v>129</v>
      </c>
      <c r="K7" s="871"/>
      <c r="L7" s="12" t="s">
        <v>11</v>
      </c>
      <c r="M7" s="12" t="s">
        <v>500</v>
      </c>
      <c r="N7" s="216" t="s">
        <v>13</v>
      </c>
      <c r="O7" s="14" t="s">
        <v>506</v>
      </c>
      <c r="P7" s="535" t="s">
        <v>68</v>
      </c>
      <c r="Q7" s="535" t="s">
        <v>69</v>
      </c>
      <c r="R7" s="535" t="s">
        <v>70</v>
      </c>
      <c r="S7" s="535" t="s">
        <v>71</v>
      </c>
      <c r="T7" s="535" t="s">
        <v>72</v>
      </c>
      <c r="U7" s="535" t="s">
        <v>73</v>
      </c>
      <c r="V7" s="535" t="s">
        <v>74</v>
      </c>
      <c r="W7" s="535" t="s">
        <v>75</v>
      </c>
      <c r="X7" s="535" t="s">
        <v>76</v>
      </c>
      <c r="Y7" s="535" t="s">
        <v>77</v>
      </c>
      <c r="Z7" s="535" t="s">
        <v>78</v>
      </c>
    </row>
    <row r="8" spans="1:26" ht="16.5" thickBot="1" x14ac:dyDescent="0.3">
      <c r="G8" s="667"/>
      <c r="H8" s="439" t="s">
        <v>519</v>
      </c>
      <c r="I8" s="781" t="s">
        <v>520</v>
      </c>
      <c r="J8" s="440"/>
      <c r="K8" s="668"/>
      <c r="L8" s="493">
        <f>indicadores!$E$36</f>
        <v>0.2344</v>
      </c>
      <c r="M8" s="669">
        <f>indicadores!$D$54</f>
        <v>0.5</v>
      </c>
      <c r="N8" s="442"/>
      <c r="O8" s="442">
        <v>6.59</v>
      </c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REMP!L6</f>
        <v>171</v>
      </c>
      <c r="I9" s="69">
        <f>REMP!U6</f>
        <v>196</v>
      </c>
      <c r="J9" s="69">
        <f>Poblacion2024!AB6</f>
        <v>1829.8980000000001</v>
      </c>
      <c r="K9" s="35">
        <f>IF(J9=0,0,+I9/J9)</f>
        <v>0.10710979519077019</v>
      </c>
      <c r="L9" s="37">
        <f>L8</f>
        <v>0.2344</v>
      </c>
      <c r="M9" s="37">
        <f>+L9*$M$8</f>
        <v>0.1172</v>
      </c>
      <c r="N9" s="110">
        <f t="shared" ref="N9:N16" si="0">IF(+K9/M9&gt;1,1,+K9/M9)</f>
        <v>0.91390610231032587</v>
      </c>
      <c r="O9" s="71">
        <f>+N9*$O$8/100</f>
        <v>6.0226412142250475E-2</v>
      </c>
      <c r="P9" s="146">
        <f>L9</f>
        <v>0.2344</v>
      </c>
      <c r="Q9" s="146">
        <f>(U9/S9)</f>
        <v>0.10710979519077019</v>
      </c>
      <c r="R9" s="147">
        <f>Q9/P9</f>
        <v>0.45695305115516294</v>
      </c>
      <c r="S9" s="97">
        <f>J9</f>
        <v>1829.8980000000001</v>
      </c>
      <c r="T9" s="98">
        <f>S9*P9</f>
        <v>428.92809120000004</v>
      </c>
      <c r="U9" s="97">
        <f>I9</f>
        <v>196</v>
      </c>
      <c r="V9" s="98">
        <f>T9/$W$3</f>
        <v>35.744007600000003</v>
      </c>
      <c r="W9" s="98">
        <f>V9*$W$4</f>
        <v>250.20805320000002</v>
      </c>
      <c r="X9" s="98">
        <f>H9</f>
        <v>171</v>
      </c>
      <c r="Y9" s="99">
        <f>X9/W9</f>
        <v>0.68343123977433984</v>
      </c>
      <c r="Z9" s="429">
        <f>(W9-X9)*-1</f>
        <v>-79.208053200000023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REMP!L7</f>
        <v>449</v>
      </c>
      <c r="I10" s="74">
        <f>REMP!U7</f>
        <v>465</v>
      </c>
      <c r="J10" s="74">
        <f>Poblacion2024!AB7</f>
        <v>1565</v>
      </c>
      <c r="K10" s="35">
        <f t="shared" ref="K10:K16" si="1">IF(J10=0,0,+I10/J10)</f>
        <v>0.29712460063897761</v>
      </c>
      <c r="L10" s="42">
        <f t="shared" ref="L10:L16" si="2">L9</f>
        <v>0.2344</v>
      </c>
      <c r="M10" s="42">
        <f t="shared" ref="M10:M15" si="3">+L10*$M$8</f>
        <v>0.1172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0.2344</v>
      </c>
      <c r="Q10" s="146">
        <f t="shared" ref="Q10:Q16" si="6">(U10/S10)</f>
        <v>0.29712460063897761</v>
      </c>
      <c r="R10" s="147">
        <f t="shared" ref="R10:R16" si="7">Q10/P10</f>
        <v>1.2675964191082663</v>
      </c>
      <c r="S10" s="97">
        <f t="shared" ref="S10:S16" si="8">J10</f>
        <v>1565</v>
      </c>
      <c r="T10" s="98">
        <f t="shared" ref="T10:T16" si="9">S10*P10</f>
        <v>366.83600000000001</v>
      </c>
      <c r="U10" s="97">
        <f t="shared" ref="U10:U16" si="10">I10</f>
        <v>465</v>
      </c>
      <c r="V10" s="98">
        <f t="shared" ref="V10:V16" si="11">T10/$W$3</f>
        <v>30.569666666666667</v>
      </c>
      <c r="W10" s="98">
        <f t="shared" ref="W10:W16" si="12">V10*$W$4</f>
        <v>213.98766666666666</v>
      </c>
      <c r="X10" s="98">
        <f t="shared" ref="X10:X16" si="13">H10</f>
        <v>449</v>
      </c>
      <c r="Y10" s="99">
        <f t="shared" ref="Y10:Y16" si="14">X10/W10</f>
        <v>2.098251768404098</v>
      </c>
      <c r="Z10" s="429">
        <f t="shared" ref="Z10:Z16" si="15">(W10-X10)*-1</f>
        <v>235.01233333333334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REMP!L8</f>
        <v>164</v>
      </c>
      <c r="I11" s="74">
        <f>REMP!U8</f>
        <v>180</v>
      </c>
      <c r="J11" s="74">
        <f>Poblacion2024!AB8</f>
        <v>1290</v>
      </c>
      <c r="K11" s="35">
        <f t="shared" si="1"/>
        <v>0.13953488372093023</v>
      </c>
      <c r="L11" s="42">
        <f t="shared" si="2"/>
        <v>0.2344</v>
      </c>
      <c r="M11" s="42">
        <f t="shared" si="3"/>
        <v>0.1172</v>
      </c>
      <c r="N11" s="113">
        <f t="shared" si="0"/>
        <v>1</v>
      </c>
      <c r="O11" s="71">
        <f t="shared" si="4"/>
        <v>6.59E-2</v>
      </c>
      <c r="P11" s="146">
        <f t="shared" si="5"/>
        <v>0.2344</v>
      </c>
      <c r="Q11" s="146">
        <f t="shared" si="6"/>
        <v>0.13953488372093023</v>
      </c>
      <c r="R11" s="147">
        <f t="shared" si="7"/>
        <v>0.5952853401063577</v>
      </c>
      <c r="S11" s="97">
        <f t="shared" si="8"/>
        <v>1290</v>
      </c>
      <c r="T11" s="98">
        <f t="shared" si="9"/>
        <v>302.37599999999998</v>
      </c>
      <c r="U11" s="97">
        <f t="shared" si="10"/>
        <v>180</v>
      </c>
      <c r="V11" s="98">
        <f t="shared" si="11"/>
        <v>25.197999999999997</v>
      </c>
      <c r="W11" s="98">
        <f t="shared" si="12"/>
        <v>176.38599999999997</v>
      </c>
      <c r="X11" s="98">
        <f t="shared" si="13"/>
        <v>164</v>
      </c>
      <c r="Y11" s="99">
        <f t="shared" si="14"/>
        <v>0.92977900740421593</v>
      </c>
      <c r="Z11" s="429">
        <f t="shared" si="15"/>
        <v>-12.385999999999967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REMP!L9</f>
        <v>235</v>
      </c>
      <c r="I12" s="74">
        <f>REMP!U9</f>
        <v>249</v>
      </c>
      <c r="J12" s="74">
        <f>Poblacion2024!AB9</f>
        <v>1272.2496000000001</v>
      </c>
      <c r="K12" s="35">
        <f t="shared" si="1"/>
        <v>0.19571631227079966</v>
      </c>
      <c r="L12" s="42">
        <f t="shared" si="2"/>
        <v>0.2344</v>
      </c>
      <c r="M12" s="42">
        <f t="shared" si="3"/>
        <v>0.1172</v>
      </c>
      <c r="N12" s="113">
        <f t="shared" si="0"/>
        <v>1</v>
      </c>
      <c r="O12" s="71">
        <f t="shared" si="4"/>
        <v>6.59E-2</v>
      </c>
      <c r="P12" s="146">
        <f t="shared" si="5"/>
        <v>0.2344</v>
      </c>
      <c r="Q12" s="146">
        <f t="shared" si="6"/>
        <v>0.19571631227079966</v>
      </c>
      <c r="R12" s="147">
        <f t="shared" si="7"/>
        <v>0.8349672025204764</v>
      </c>
      <c r="S12" s="97">
        <f t="shared" si="8"/>
        <v>1272.2496000000001</v>
      </c>
      <c r="T12" s="98">
        <f t="shared" si="9"/>
        <v>298.21530624000002</v>
      </c>
      <c r="U12" s="97">
        <f t="shared" si="10"/>
        <v>249</v>
      </c>
      <c r="V12" s="98">
        <f t="shared" si="11"/>
        <v>24.851275520000002</v>
      </c>
      <c r="W12" s="98">
        <f t="shared" si="12"/>
        <v>173.95892864000001</v>
      </c>
      <c r="X12" s="98">
        <f t="shared" si="13"/>
        <v>235</v>
      </c>
      <c r="Y12" s="99">
        <f t="shared" si="14"/>
        <v>1.3508935806699618</v>
      </c>
      <c r="Z12" s="429">
        <f t="shared" si="15"/>
        <v>61.041071359999989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REMP!L10</f>
        <v>489</v>
      </c>
      <c r="I13" s="74">
        <f>REMP!U10</f>
        <v>502</v>
      </c>
      <c r="J13" s="74">
        <f>Poblacion2024!AB10</f>
        <v>1190</v>
      </c>
      <c r="K13" s="35">
        <f t="shared" si="1"/>
        <v>0.42184873949579832</v>
      </c>
      <c r="L13" s="42">
        <f t="shared" si="2"/>
        <v>0.2344</v>
      </c>
      <c r="M13" s="42">
        <f t="shared" si="3"/>
        <v>0.1172</v>
      </c>
      <c r="N13" s="113">
        <f t="shared" si="0"/>
        <v>1</v>
      </c>
      <c r="O13" s="71">
        <f t="shared" si="4"/>
        <v>6.59E-2</v>
      </c>
      <c r="P13" s="146">
        <f t="shared" si="5"/>
        <v>0.2344</v>
      </c>
      <c r="Q13" s="146">
        <f t="shared" si="6"/>
        <v>0.42184873949579832</v>
      </c>
      <c r="R13" s="147">
        <f t="shared" si="7"/>
        <v>1.7996959876100611</v>
      </c>
      <c r="S13" s="97">
        <f t="shared" si="8"/>
        <v>1190</v>
      </c>
      <c r="T13" s="98">
        <f t="shared" si="9"/>
        <v>278.93599999999998</v>
      </c>
      <c r="U13" s="97">
        <f t="shared" si="10"/>
        <v>502</v>
      </c>
      <c r="V13" s="98">
        <f t="shared" si="11"/>
        <v>23.244666666666664</v>
      </c>
      <c r="W13" s="98">
        <f t="shared" si="12"/>
        <v>162.71266666666665</v>
      </c>
      <c r="X13" s="98">
        <f t="shared" si="13"/>
        <v>489</v>
      </c>
      <c r="Y13" s="99">
        <f t="shared" si="14"/>
        <v>3.005297682212817</v>
      </c>
      <c r="Z13" s="429">
        <f t="shared" si="15"/>
        <v>326.28733333333332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REMP!L11</f>
        <v>0</v>
      </c>
      <c r="I14" s="74">
        <f>REMP!U11</f>
        <v>0</v>
      </c>
      <c r="J14" s="74">
        <f>Poblacion2024!AB11</f>
        <v>24.101999999999997</v>
      </c>
      <c r="K14" s="35">
        <f t="shared" si="1"/>
        <v>0</v>
      </c>
      <c r="L14" s="42">
        <f t="shared" si="2"/>
        <v>0.2344</v>
      </c>
      <c r="M14" s="42">
        <f t="shared" si="3"/>
        <v>0.1172</v>
      </c>
      <c r="N14" s="113">
        <f t="shared" si="0"/>
        <v>0</v>
      </c>
      <c r="O14" s="71">
        <f t="shared" si="4"/>
        <v>0</v>
      </c>
      <c r="P14" s="146">
        <f t="shared" si="5"/>
        <v>0.2344</v>
      </c>
      <c r="Q14" s="146">
        <f t="shared" si="6"/>
        <v>0</v>
      </c>
      <c r="R14" s="147">
        <f t="shared" si="7"/>
        <v>0</v>
      </c>
      <c r="S14" s="97">
        <f t="shared" si="8"/>
        <v>24.101999999999997</v>
      </c>
      <c r="T14" s="98">
        <f t="shared" si="9"/>
        <v>5.6495087999999996</v>
      </c>
      <c r="U14" s="97">
        <f t="shared" si="10"/>
        <v>0</v>
      </c>
      <c r="V14" s="98">
        <f t="shared" si="11"/>
        <v>0.47079239999999994</v>
      </c>
      <c r="W14" s="98">
        <f t="shared" si="12"/>
        <v>3.2955467999999994</v>
      </c>
      <c r="X14" s="98">
        <f t="shared" si="13"/>
        <v>0</v>
      </c>
      <c r="Y14" s="99">
        <f t="shared" si="14"/>
        <v>0</v>
      </c>
      <c r="Z14" s="429">
        <f t="shared" si="15"/>
        <v>-3.2955467999999994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74">
        <f>REMP!L12</f>
        <v>115</v>
      </c>
      <c r="I15" s="74">
        <f>REMP!U12</f>
        <v>120</v>
      </c>
      <c r="J15" s="115">
        <f>Poblacion2024!AB12</f>
        <v>335.75040000000001</v>
      </c>
      <c r="K15" s="35">
        <f t="shared" si="1"/>
        <v>0.3574083604963687</v>
      </c>
      <c r="L15" s="55">
        <f t="shared" si="2"/>
        <v>0.2344</v>
      </c>
      <c r="M15" s="55">
        <f t="shared" si="3"/>
        <v>0.1172</v>
      </c>
      <c r="N15" s="116">
        <f t="shared" si="0"/>
        <v>1</v>
      </c>
      <c r="O15" s="71">
        <f t="shared" si="4"/>
        <v>6.59E-2</v>
      </c>
      <c r="P15" s="542">
        <f t="shared" si="5"/>
        <v>0.2344</v>
      </c>
      <c r="Q15" s="542">
        <f t="shared" si="6"/>
        <v>0.3574083604963687</v>
      </c>
      <c r="R15" s="543">
        <f t="shared" si="7"/>
        <v>1.5247796949503785</v>
      </c>
      <c r="S15" s="97">
        <f t="shared" si="8"/>
        <v>335.75040000000001</v>
      </c>
      <c r="T15" s="98">
        <f t="shared" si="9"/>
        <v>78.699893760000009</v>
      </c>
      <c r="U15" s="97">
        <f t="shared" si="10"/>
        <v>120</v>
      </c>
      <c r="V15" s="98">
        <f t="shared" si="11"/>
        <v>6.5583244800000005</v>
      </c>
      <c r="W15" s="98">
        <f t="shared" si="12"/>
        <v>45.908271360000001</v>
      </c>
      <c r="X15" s="98">
        <f t="shared" si="13"/>
        <v>115</v>
      </c>
      <c r="Y15" s="544">
        <f t="shared" si="14"/>
        <v>2.5049952131327649</v>
      </c>
      <c r="Z15" s="429">
        <f t="shared" si="15"/>
        <v>69.091728639999999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539">
        <f>SUM(H9:H15)</f>
        <v>1623</v>
      </c>
      <c r="I16" s="539">
        <f>SUM(I9:I15)</f>
        <v>1712</v>
      </c>
      <c r="J16" s="539">
        <f>SUM(J9:J15)</f>
        <v>7507</v>
      </c>
      <c r="K16" s="35">
        <f t="shared" si="1"/>
        <v>0.22805381643799122</v>
      </c>
      <c r="L16" s="509">
        <f t="shared" si="2"/>
        <v>0.2344</v>
      </c>
      <c r="M16" s="37">
        <f>+L16*$M$8</f>
        <v>0.1172</v>
      </c>
      <c r="N16" s="510">
        <f t="shared" si="0"/>
        <v>1</v>
      </c>
      <c r="O16" s="71">
        <f t="shared" si="4"/>
        <v>6.59E-2</v>
      </c>
      <c r="P16" s="545">
        <f t="shared" si="5"/>
        <v>0.2344</v>
      </c>
      <c r="Q16" s="545">
        <f t="shared" si="6"/>
        <v>0.22805381643799122</v>
      </c>
      <c r="R16" s="546">
        <f t="shared" si="7"/>
        <v>0.97292583804603761</v>
      </c>
      <c r="S16" s="547">
        <f t="shared" si="8"/>
        <v>7507</v>
      </c>
      <c r="T16" s="548">
        <f t="shared" si="9"/>
        <v>1759.6407999999999</v>
      </c>
      <c r="U16" s="97">
        <f t="shared" si="10"/>
        <v>1712</v>
      </c>
      <c r="V16" s="98">
        <f t="shared" si="11"/>
        <v>146.63673333333332</v>
      </c>
      <c r="W16" s="548">
        <f t="shared" si="12"/>
        <v>1026.4571333333333</v>
      </c>
      <c r="X16" s="548">
        <f t="shared" si="13"/>
        <v>1623</v>
      </c>
      <c r="Y16" s="549">
        <f t="shared" si="14"/>
        <v>1.5811668576255531</v>
      </c>
      <c r="Z16" s="429">
        <f t="shared" si="15"/>
        <v>596.54286666666667</v>
      </c>
    </row>
    <row r="17" spans="8:17" x14ac:dyDescent="0.25">
      <c r="H17" s="64"/>
      <c r="I17" s="64"/>
      <c r="J17" s="64"/>
      <c r="L17" s="57"/>
      <c r="P17" s="122"/>
      <c r="Q17" s="122"/>
    </row>
    <row r="29" spans="8:17" x14ac:dyDescent="0.25">
      <c r="H29" s="15"/>
      <c r="I29" s="15"/>
      <c r="J29" s="15"/>
    </row>
    <row r="30" spans="8:17" x14ac:dyDescent="0.25">
      <c r="H30" s="15"/>
      <c r="I30" s="15"/>
      <c r="J30" s="15"/>
    </row>
    <row r="31" spans="8:17" x14ac:dyDescent="0.25">
      <c r="H31" s="15"/>
      <c r="I31" s="15"/>
      <c r="J31" s="15"/>
    </row>
    <row r="32" spans="8:17" x14ac:dyDescent="0.25">
      <c r="H32" s="15"/>
      <c r="I32" s="15"/>
      <c r="J32" s="15"/>
    </row>
    <row r="33" spans="8:10" x14ac:dyDescent="0.25">
      <c r="H33" s="15"/>
      <c r="I33" s="15"/>
      <c r="J33" s="15"/>
    </row>
    <row r="34" spans="8:10" x14ac:dyDescent="0.25">
      <c r="H34" s="15"/>
      <c r="I34" s="15"/>
      <c r="J34" s="15"/>
    </row>
    <row r="35" spans="8:10" x14ac:dyDescent="0.25">
      <c r="H35" s="15"/>
      <c r="I35" s="15"/>
      <c r="J35" s="15"/>
    </row>
    <row r="36" spans="8:10" x14ac:dyDescent="0.25">
      <c r="H36" s="15"/>
      <c r="I36" s="15"/>
      <c r="J36" s="15"/>
    </row>
    <row r="37" spans="8:10" x14ac:dyDescent="0.25">
      <c r="H37" s="15"/>
      <c r="I37" s="15"/>
      <c r="J37" s="15"/>
    </row>
    <row r="38" spans="8:10" x14ac:dyDescent="0.25">
      <c r="H38" s="15"/>
      <c r="I38" s="15"/>
      <c r="J38" s="15"/>
    </row>
    <row r="39" spans="8:10" x14ac:dyDescent="0.25">
      <c r="H39" s="15"/>
      <c r="I39" s="15"/>
      <c r="J39" s="15"/>
    </row>
    <row r="40" spans="8:10" x14ac:dyDescent="0.25">
      <c r="H40" s="15"/>
      <c r="I40" s="15"/>
      <c r="J40" s="15"/>
    </row>
    <row r="41" spans="8:10" x14ac:dyDescent="0.25">
      <c r="H41" s="15"/>
      <c r="I41" s="15"/>
      <c r="J41" s="15"/>
    </row>
    <row r="42" spans="8:10" x14ac:dyDescent="0.25">
      <c r="H42" s="15"/>
      <c r="I42" s="15"/>
      <c r="J42" s="15"/>
    </row>
    <row r="43" spans="8:10" x14ac:dyDescent="0.25">
      <c r="H43" s="15"/>
      <c r="I43" s="15"/>
      <c r="J43" s="15"/>
    </row>
    <row r="44" spans="8:10" x14ac:dyDescent="0.25">
      <c r="H44" s="15"/>
      <c r="I44" s="15"/>
      <c r="J44" s="15"/>
    </row>
    <row r="45" spans="8:10" x14ac:dyDescent="0.25">
      <c r="H45" s="15"/>
      <c r="I45" s="15"/>
      <c r="J45" s="15"/>
    </row>
  </sheetData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34" zoomScale="136" zoomScaleNormal="136" workbookViewId="0">
      <selection activeCell="C55" sqref="C55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3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4"/>
    <col min="24" max="24" width="3.28515625" customWidth="1"/>
    <col min="26" max="26" width="4.28515625" customWidth="1"/>
    <col min="27" max="27" width="7.5703125" style="335" bestFit="1" customWidth="1"/>
    <col min="28" max="28" width="4" customWidth="1"/>
    <col min="29" max="30" width="4.85546875" customWidth="1"/>
    <col min="31" max="31" width="5.28515625" customWidth="1"/>
    <col min="32" max="32" width="6.85546875" style="334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4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19" t="s">
        <v>250</v>
      </c>
      <c r="C2" s="819"/>
      <c r="D2" s="819"/>
      <c r="E2" s="819"/>
      <c r="F2" s="819"/>
    </row>
    <row r="3" spans="2:41" s="111" customFormat="1" ht="26.25" thickBot="1" x14ac:dyDescent="0.25">
      <c r="B3" s="336" t="s">
        <v>251</v>
      </c>
      <c r="C3" s="337" t="s">
        <v>252</v>
      </c>
      <c r="D3" s="337" t="s">
        <v>253</v>
      </c>
      <c r="E3" s="337" t="s">
        <v>254</v>
      </c>
      <c r="F3" s="337" t="s">
        <v>255</v>
      </c>
      <c r="H3" s="111" t="s">
        <v>256</v>
      </c>
      <c r="R3" s="338"/>
      <c r="W3" s="67"/>
      <c r="AA3" s="339"/>
      <c r="AF3" s="67"/>
      <c r="AO3" s="67"/>
    </row>
    <row r="4" spans="2:41" s="111" customFormat="1" ht="63.75" customHeight="1" x14ac:dyDescent="0.25">
      <c r="B4" s="820">
        <v>1</v>
      </c>
      <c r="C4" s="823" t="s">
        <v>257</v>
      </c>
      <c r="D4" s="823" t="s">
        <v>258</v>
      </c>
      <c r="E4" s="820" t="s">
        <v>259</v>
      </c>
      <c r="F4" s="820">
        <v>4</v>
      </c>
      <c r="H4" s="340" t="s">
        <v>260</v>
      </c>
      <c r="R4" s="338"/>
      <c r="W4" s="67"/>
      <c r="AA4" s="339"/>
      <c r="AF4" s="67"/>
      <c r="AO4" s="67"/>
    </row>
    <row r="5" spans="2:41" s="111" customFormat="1" x14ac:dyDescent="0.2">
      <c r="B5" s="821"/>
      <c r="C5" s="824"/>
      <c r="D5" s="824"/>
      <c r="E5" s="821"/>
      <c r="F5" s="821"/>
      <c r="R5" s="338"/>
      <c r="W5" s="67"/>
      <c r="AA5" s="339"/>
      <c r="AF5" s="67"/>
      <c r="AO5" s="67"/>
    </row>
    <row r="6" spans="2:41" s="111" customFormat="1" x14ac:dyDescent="0.2">
      <c r="B6" s="821"/>
      <c r="C6" s="824"/>
      <c r="D6" s="824"/>
      <c r="E6" s="821"/>
      <c r="F6" s="821"/>
      <c r="R6" s="338"/>
      <c r="W6" s="67"/>
      <c r="AA6" s="339"/>
      <c r="AF6" s="67"/>
      <c r="AO6" s="67"/>
    </row>
    <row r="7" spans="2:41" s="111" customFormat="1" ht="12.75" customHeight="1" x14ac:dyDescent="0.2">
      <c r="B7" s="821"/>
      <c r="C7" s="824"/>
      <c r="D7" s="824"/>
      <c r="E7" s="826"/>
      <c r="F7" s="821"/>
      <c r="R7" s="338"/>
      <c r="W7" s="67"/>
      <c r="AA7" s="339"/>
      <c r="AF7" s="67"/>
      <c r="AO7" s="67"/>
    </row>
    <row r="8" spans="2:41" s="111" customFormat="1" ht="38.25" customHeight="1" thickBot="1" x14ac:dyDescent="0.25">
      <c r="B8" s="822"/>
      <c r="C8" s="825"/>
      <c r="D8" s="825"/>
      <c r="E8" s="827"/>
      <c r="F8" s="822"/>
      <c r="R8" s="338"/>
      <c r="W8" s="67"/>
      <c r="AA8" s="339"/>
      <c r="AF8" s="67"/>
      <c r="AO8" s="67"/>
    </row>
    <row r="9" spans="2:41" s="111" customFormat="1" ht="38.25" customHeight="1" thickBot="1" x14ac:dyDescent="0.25">
      <c r="B9" s="820">
        <v>2</v>
      </c>
      <c r="C9" s="823" t="s">
        <v>261</v>
      </c>
      <c r="D9" s="342" t="s">
        <v>262</v>
      </c>
      <c r="E9" s="343">
        <v>1</v>
      </c>
      <c r="F9" s="344">
        <v>4</v>
      </c>
      <c r="R9" s="338"/>
      <c r="W9" s="67"/>
      <c r="AA9" s="339"/>
      <c r="AF9" s="67"/>
      <c r="AO9" s="67"/>
    </row>
    <row r="10" spans="2:41" s="111" customFormat="1" ht="27" customHeight="1" thickBot="1" x14ac:dyDescent="0.25">
      <c r="B10" s="822"/>
      <c r="C10" s="825"/>
      <c r="D10" s="345" t="s">
        <v>263</v>
      </c>
      <c r="E10" s="343">
        <v>1</v>
      </c>
      <c r="F10" s="346">
        <v>4</v>
      </c>
      <c r="R10" s="338"/>
      <c r="W10" s="67"/>
      <c r="AA10" s="339"/>
      <c r="AF10" s="67"/>
      <c r="AO10" s="67"/>
    </row>
    <row r="11" spans="2:41" s="111" customFormat="1" ht="16.5" customHeight="1" thickBot="1" x14ac:dyDescent="0.25">
      <c r="B11" s="828" t="s">
        <v>264</v>
      </c>
      <c r="C11" s="829"/>
      <c r="D11" s="829"/>
      <c r="E11" s="830"/>
      <c r="F11" s="347">
        <v>0.12</v>
      </c>
      <c r="R11" s="338"/>
      <c r="W11" s="67"/>
      <c r="AA11" s="339"/>
      <c r="AF11" s="67"/>
      <c r="AO11" s="67"/>
    </row>
    <row r="12" spans="2:41" s="111" customFormat="1" ht="15.75" customHeight="1" x14ac:dyDescent="0.2">
      <c r="B12" s="348"/>
      <c r="R12" s="338"/>
      <c r="W12" s="67"/>
      <c r="AA12" s="339"/>
      <c r="AF12" s="67"/>
      <c r="AO12" s="67"/>
    </row>
    <row r="13" spans="2:41" s="111" customFormat="1" ht="18.75" x14ac:dyDescent="0.2">
      <c r="B13" s="831" t="s">
        <v>265</v>
      </c>
      <c r="C13" s="831"/>
      <c r="D13" s="831"/>
      <c r="E13" s="831"/>
      <c r="F13" s="831"/>
      <c r="R13" s="338"/>
      <c r="W13" s="67"/>
      <c r="AA13" s="339"/>
      <c r="AF13" s="67"/>
      <c r="AO13" s="67"/>
    </row>
    <row r="14" spans="2:41" s="111" customFormat="1" ht="13.5" customHeight="1" thickBot="1" x14ac:dyDescent="0.25">
      <c r="B14" s="348"/>
      <c r="R14" s="338"/>
      <c r="W14" s="67"/>
      <c r="AA14" s="339"/>
      <c r="AF14" s="67"/>
      <c r="AO14" s="67"/>
    </row>
    <row r="15" spans="2:41" s="111" customFormat="1" ht="27" customHeight="1" thickBot="1" x14ac:dyDescent="0.25">
      <c r="B15" s="349" t="s">
        <v>251</v>
      </c>
      <c r="C15" s="350" t="s">
        <v>252</v>
      </c>
      <c r="D15" s="350" t="s">
        <v>253</v>
      </c>
      <c r="E15" s="350" t="s">
        <v>266</v>
      </c>
      <c r="F15" s="350" t="s">
        <v>255</v>
      </c>
      <c r="R15" s="338"/>
      <c r="W15" s="67"/>
      <c r="AA15" s="339"/>
      <c r="AF15" s="67"/>
      <c r="AO15" s="67"/>
    </row>
    <row r="16" spans="2:41" s="111" customFormat="1" ht="40.5" customHeight="1" thickBot="1" x14ac:dyDescent="0.25">
      <c r="B16" s="341">
        <v>3</v>
      </c>
      <c r="C16" s="342" t="s">
        <v>267</v>
      </c>
      <c r="D16" s="342" t="s">
        <v>268</v>
      </c>
      <c r="E16" s="351">
        <v>1.08</v>
      </c>
      <c r="F16" s="351">
        <v>6</v>
      </c>
      <c r="R16" s="338"/>
      <c r="W16" s="67"/>
      <c r="AA16" s="339"/>
      <c r="AF16" s="67"/>
      <c r="AO16" s="67"/>
    </row>
    <row r="17" spans="2:41" s="111" customFormat="1" ht="15.75" customHeight="1" x14ac:dyDescent="0.2">
      <c r="B17" s="820">
        <v>4</v>
      </c>
      <c r="C17" s="823" t="s">
        <v>269</v>
      </c>
      <c r="D17" s="820" t="s">
        <v>270</v>
      </c>
      <c r="E17" s="820" t="s">
        <v>455</v>
      </c>
      <c r="F17" s="820">
        <v>5</v>
      </c>
      <c r="R17" s="338"/>
      <c r="W17" s="67"/>
      <c r="AA17" s="339"/>
      <c r="AF17" s="67"/>
      <c r="AO17" s="67"/>
    </row>
    <row r="18" spans="2:41" s="111" customFormat="1" ht="12.75" customHeight="1" x14ac:dyDescent="0.2">
      <c r="B18" s="821"/>
      <c r="C18" s="824"/>
      <c r="D18" s="826"/>
      <c r="E18" s="821"/>
      <c r="F18" s="821"/>
      <c r="R18" s="338"/>
      <c r="W18" s="67"/>
      <c r="AA18" s="339"/>
      <c r="AF18" s="67"/>
      <c r="AO18" s="67"/>
    </row>
    <row r="19" spans="2:41" s="111" customFormat="1" ht="12.75" customHeight="1" x14ac:dyDescent="0.2">
      <c r="B19" s="821"/>
      <c r="C19" s="824"/>
      <c r="D19" s="826"/>
      <c r="E19" s="821"/>
      <c r="F19" s="821"/>
      <c r="R19" s="338"/>
      <c r="W19" s="67"/>
      <c r="AA19" s="339"/>
      <c r="AF19" s="67"/>
      <c r="AO19" s="67"/>
    </row>
    <row r="20" spans="2:41" s="111" customFormat="1" ht="12.75" customHeight="1" x14ac:dyDescent="0.2">
      <c r="B20" s="821"/>
      <c r="C20" s="824"/>
      <c r="D20" s="826"/>
      <c r="E20" s="821"/>
      <c r="F20" s="821"/>
      <c r="R20" s="338"/>
      <c r="W20" s="67"/>
      <c r="AA20" s="339"/>
      <c r="AF20" s="67"/>
      <c r="AO20" s="67"/>
    </row>
    <row r="21" spans="2:41" s="111" customFormat="1" ht="13.5" customHeight="1" thickBot="1" x14ac:dyDescent="0.25">
      <c r="B21" s="822"/>
      <c r="C21" s="825"/>
      <c r="D21" s="827"/>
      <c r="E21" s="822"/>
      <c r="F21" s="822"/>
      <c r="R21" s="338"/>
      <c r="W21" s="67"/>
      <c r="AA21" s="339"/>
      <c r="AF21" s="67"/>
      <c r="AO21" s="67"/>
    </row>
    <row r="22" spans="2:41" s="111" customFormat="1" ht="26.25" thickBot="1" x14ac:dyDescent="0.25">
      <c r="B22" s="341">
        <v>5</v>
      </c>
      <c r="C22" s="342" t="s">
        <v>163</v>
      </c>
      <c r="D22" s="342" t="s">
        <v>271</v>
      </c>
      <c r="E22" s="746">
        <v>0.16500000000000001</v>
      </c>
      <c r="F22" s="351">
        <v>5</v>
      </c>
      <c r="R22" s="338"/>
      <c r="W22" s="67"/>
      <c r="AA22" s="339"/>
      <c r="AF22" s="67"/>
      <c r="AO22" s="67"/>
    </row>
    <row r="23" spans="2:41" s="111" customFormat="1" ht="39" thickBot="1" x14ac:dyDescent="0.25">
      <c r="B23" s="686" t="s">
        <v>467</v>
      </c>
      <c r="C23" s="682" t="s">
        <v>469</v>
      </c>
      <c r="D23" s="687"/>
      <c r="E23" s="690">
        <v>0.1119</v>
      </c>
      <c r="F23" s="688"/>
      <c r="R23" s="338"/>
      <c r="W23" s="67"/>
      <c r="AA23" s="339"/>
      <c r="AF23" s="67"/>
      <c r="AO23" s="67"/>
    </row>
    <row r="24" spans="2:41" s="111" customFormat="1" ht="62.25" customHeight="1" thickBot="1" x14ac:dyDescent="0.25">
      <c r="B24" s="689" t="s">
        <v>468</v>
      </c>
      <c r="C24" s="689" t="s">
        <v>470</v>
      </c>
      <c r="D24" s="683" t="s">
        <v>272</v>
      </c>
      <c r="E24" s="685">
        <v>0.1</v>
      </c>
      <c r="F24" s="684">
        <v>6</v>
      </c>
      <c r="R24" s="338"/>
      <c r="W24" s="67"/>
      <c r="AA24" s="339"/>
      <c r="AF24" s="67"/>
      <c r="AO24" s="67"/>
    </row>
    <row r="25" spans="2:41" s="111" customFormat="1" ht="39" thickBot="1" x14ac:dyDescent="0.25">
      <c r="B25" s="619">
        <v>6.2</v>
      </c>
      <c r="C25" s="619"/>
      <c r="D25" s="352" t="s">
        <v>273</v>
      </c>
      <c r="E25" s="353">
        <v>0.39</v>
      </c>
      <c r="F25" s="351">
        <v>6</v>
      </c>
      <c r="R25" s="338"/>
      <c r="W25" s="67"/>
      <c r="AA25" s="339"/>
      <c r="AF25" s="67"/>
      <c r="AO25" s="67"/>
    </row>
    <row r="26" spans="2:41" s="111" customFormat="1" ht="39" thickBot="1" x14ac:dyDescent="0.25">
      <c r="B26" s="341">
        <v>7</v>
      </c>
      <c r="C26" s="342" t="s">
        <v>274</v>
      </c>
      <c r="D26" s="342" t="s">
        <v>275</v>
      </c>
      <c r="E26" s="353">
        <v>0.95</v>
      </c>
      <c r="F26" s="351">
        <v>5</v>
      </c>
      <c r="R26" s="338"/>
      <c r="W26" s="67"/>
      <c r="AA26" s="339"/>
      <c r="AF26" s="67"/>
      <c r="AO26" s="67"/>
    </row>
    <row r="27" spans="2:41" s="111" customFormat="1" ht="39" thickBot="1" x14ac:dyDescent="0.25">
      <c r="B27" s="341">
        <v>8</v>
      </c>
      <c r="C27" s="342" t="s">
        <v>276</v>
      </c>
      <c r="D27" s="342" t="s">
        <v>277</v>
      </c>
      <c r="E27" s="632">
        <v>0.19439999999999999</v>
      </c>
      <c r="F27" s="351">
        <v>6</v>
      </c>
      <c r="R27" s="338"/>
      <c r="W27" s="67"/>
      <c r="AA27" s="339"/>
      <c r="AF27" s="67"/>
      <c r="AO27" s="67"/>
    </row>
    <row r="28" spans="2:41" s="111" customFormat="1" ht="44.25" customHeight="1" thickBot="1" x14ac:dyDescent="0.25">
      <c r="B28" s="341">
        <v>9</v>
      </c>
      <c r="C28" s="342" t="s">
        <v>278</v>
      </c>
      <c r="D28" s="342" t="s">
        <v>279</v>
      </c>
      <c r="E28" s="632">
        <v>0.46839999999999998</v>
      </c>
      <c r="F28" s="351">
        <v>5</v>
      </c>
      <c r="R28" s="338"/>
      <c r="W28" s="67"/>
      <c r="AA28" s="339"/>
      <c r="AF28" s="67"/>
      <c r="AO28" s="67"/>
    </row>
    <row r="29" spans="2:41" s="111" customFormat="1" ht="55.5" customHeight="1" thickBot="1" x14ac:dyDescent="0.25">
      <c r="B29" s="820">
        <v>10</v>
      </c>
      <c r="C29" s="820" t="s">
        <v>280</v>
      </c>
      <c r="D29" s="342" t="s">
        <v>281</v>
      </c>
      <c r="E29" s="632">
        <v>0.23880000000000001</v>
      </c>
      <c r="F29" s="820">
        <v>6</v>
      </c>
      <c r="H29" s="747" t="s">
        <v>498</v>
      </c>
      <c r="R29" s="338"/>
      <c r="W29" s="67"/>
      <c r="AA29" s="339"/>
      <c r="AF29" s="67"/>
      <c r="AO29" s="67"/>
    </row>
    <row r="30" spans="2:41" s="111" customFormat="1" ht="39" thickBot="1" x14ac:dyDescent="0.25">
      <c r="B30" s="822"/>
      <c r="C30" s="822"/>
      <c r="D30" s="342" t="s">
        <v>282</v>
      </c>
      <c r="E30" s="354">
        <v>6</v>
      </c>
      <c r="F30" s="822"/>
      <c r="R30" s="338"/>
      <c r="W30" s="67"/>
      <c r="AA30" s="339"/>
      <c r="AF30" s="67"/>
      <c r="AO30" s="67"/>
    </row>
    <row r="31" spans="2:41" s="111" customFormat="1" x14ac:dyDescent="0.2">
      <c r="B31" s="833">
        <v>11</v>
      </c>
      <c r="C31" s="833" t="s">
        <v>283</v>
      </c>
      <c r="D31" s="833" t="s">
        <v>284</v>
      </c>
      <c r="E31" s="836">
        <v>1</v>
      </c>
      <c r="F31" s="839" t="s">
        <v>285</v>
      </c>
      <c r="R31" s="338"/>
      <c r="W31" s="67"/>
      <c r="AA31" s="339"/>
      <c r="AF31" s="67"/>
      <c r="AO31" s="67"/>
    </row>
    <row r="32" spans="2:41" s="111" customFormat="1" ht="15.75" customHeight="1" x14ac:dyDescent="0.2">
      <c r="B32" s="834"/>
      <c r="C32" s="834"/>
      <c r="D32" s="834"/>
      <c r="E32" s="837"/>
      <c r="F32" s="840"/>
      <c r="R32" s="338"/>
      <c r="W32" s="67"/>
      <c r="AA32" s="339"/>
      <c r="AF32" s="67"/>
      <c r="AO32" s="67"/>
    </row>
    <row r="33" spans="2:53" s="111" customFormat="1" ht="13.5" customHeight="1" thickBot="1" x14ac:dyDescent="0.25">
      <c r="B33" s="835"/>
      <c r="C33" s="835"/>
      <c r="D33" s="835"/>
      <c r="E33" s="838"/>
      <c r="F33" s="841"/>
      <c r="R33" s="338"/>
      <c r="W33" s="67"/>
      <c r="AA33" s="339"/>
      <c r="AF33" s="67"/>
      <c r="AO33" s="67"/>
    </row>
    <row r="34" spans="2:53" s="111" customFormat="1" ht="39" thickBot="1" x14ac:dyDescent="0.3">
      <c r="B34" s="355">
        <v>12</v>
      </c>
      <c r="C34" s="356" t="s">
        <v>286</v>
      </c>
      <c r="D34" s="356" t="s">
        <v>287</v>
      </c>
      <c r="E34" s="357">
        <v>0.85</v>
      </c>
      <c r="F34" s="358">
        <v>5</v>
      </c>
      <c r="H34" s="340" t="s">
        <v>288</v>
      </c>
      <c r="R34" s="338"/>
      <c r="W34" s="67"/>
      <c r="AA34" s="339"/>
      <c r="AF34" s="67"/>
      <c r="AO34" s="67"/>
    </row>
    <row r="35" spans="2:53" s="111" customFormat="1" ht="26.25" thickBot="1" x14ac:dyDescent="0.25">
      <c r="B35" s="355">
        <v>13</v>
      </c>
      <c r="C35" s="356" t="s">
        <v>289</v>
      </c>
      <c r="D35" s="356" t="s">
        <v>290</v>
      </c>
      <c r="E35" s="634">
        <v>0.90710000000000002</v>
      </c>
      <c r="F35" s="358">
        <v>6</v>
      </c>
      <c r="R35" s="338"/>
      <c r="W35" s="67"/>
      <c r="AA35" s="339"/>
      <c r="AF35" s="67"/>
      <c r="AO35" s="67"/>
    </row>
    <row r="36" spans="2:53" s="111" customFormat="1" ht="51.75" thickBot="1" x14ac:dyDescent="0.3">
      <c r="B36" s="355">
        <v>14</v>
      </c>
      <c r="C36" s="356" t="s">
        <v>291</v>
      </c>
      <c r="D36" s="356" t="s">
        <v>292</v>
      </c>
      <c r="E36" s="634">
        <v>0.2344</v>
      </c>
      <c r="F36" s="358">
        <v>6</v>
      </c>
      <c r="H36" s="340" t="s">
        <v>288</v>
      </c>
      <c r="R36" s="338"/>
      <c r="W36" s="67"/>
      <c r="AA36" s="339"/>
      <c r="AF36" s="67"/>
      <c r="AO36" s="67"/>
    </row>
    <row r="37" spans="2:53" s="111" customFormat="1" ht="39" thickBot="1" x14ac:dyDescent="0.3">
      <c r="B37" s="355">
        <v>15</v>
      </c>
      <c r="C37" s="356" t="s">
        <v>293</v>
      </c>
      <c r="D37" s="356" t="s">
        <v>294</v>
      </c>
      <c r="E37" s="634">
        <v>0.55289999999999995</v>
      </c>
      <c r="F37" s="359">
        <v>6</v>
      </c>
      <c r="H37" s="340" t="s">
        <v>288</v>
      </c>
      <c r="R37" s="338"/>
      <c r="W37" s="67"/>
      <c r="AA37" s="339"/>
      <c r="AF37" s="67"/>
      <c r="AO37" s="67"/>
    </row>
    <row r="38" spans="2:53" s="111" customFormat="1" ht="39" thickBot="1" x14ac:dyDescent="0.3">
      <c r="B38" s="355">
        <v>16</v>
      </c>
      <c r="C38" s="356" t="s">
        <v>295</v>
      </c>
      <c r="D38" s="356" t="s">
        <v>296</v>
      </c>
      <c r="E38" s="634">
        <v>0.5423</v>
      </c>
      <c r="F38" s="358">
        <v>6</v>
      </c>
      <c r="H38" s="340" t="s">
        <v>288</v>
      </c>
      <c r="R38" s="338"/>
      <c r="W38" s="67"/>
      <c r="AA38" s="339"/>
      <c r="AF38" s="67"/>
      <c r="AO38" s="67"/>
    </row>
    <row r="39" spans="2:53" s="111" customFormat="1" ht="13.5" thickBot="1" x14ac:dyDescent="0.25">
      <c r="B39" s="842" t="s">
        <v>297</v>
      </c>
      <c r="C39" s="843"/>
      <c r="D39" s="843"/>
      <c r="E39" s="844"/>
      <c r="F39" s="360">
        <v>0.79</v>
      </c>
      <c r="R39" s="338"/>
      <c r="W39" s="67"/>
      <c r="AA39" s="339"/>
      <c r="AF39" s="67"/>
      <c r="AO39" s="67"/>
    </row>
    <row r="40" spans="2:53" s="111" customFormat="1" x14ac:dyDescent="0.2">
      <c r="B40" s="348"/>
      <c r="R40" s="338"/>
      <c r="W40" s="67"/>
      <c r="AA40" s="339"/>
      <c r="AF40" s="67"/>
      <c r="AO40" s="67"/>
    </row>
    <row r="41" spans="2:53" s="111" customFormat="1" ht="19.5" thickBot="1" x14ac:dyDescent="0.25">
      <c r="B41" s="845" t="s">
        <v>298</v>
      </c>
      <c r="C41" s="845"/>
      <c r="D41" s="845"/>
      <c r="E41" s="845"/>
      <c r="F41" s="845"/>
      <c r="R41" s="338"/>
      <c r="W41" s="67"/>
      <c r="AA41" s="339"/>
      <c r="AF41" s="67"/>
      <c r="AO41" s="67"/>
    </row>
    <row r="42" spans="2:53" s="111" customFormat="1" ht="26.25" thickBot="1" x14ac:dyDescent="0.25">
      <c r="B42" s="336" t="s">
        <v>299</v>
      </c>
      <c r="C42" s="337" t="s">
        <v>252</v>
      </c>
      <c r="D42" s="337" t="s">
        <v>253</v>
      </c>
      <c r="E42" s="337" t="s">
        <v>266</v>
      </c>
      <c r="F42" s="337" t="s">
        <v>255</v>
      </c>
      <c r="R42" s="338"/>
      <c r="W42" s="67"/>
      <c r="AA42" s="339"/>
      <c r="AF42" s="67"/>
      <c r="AO42" s="67"/>
    </row>
    <row r="43" spans="2:53" s="111" customFormat="1" ht="44.25" customHeight="1" thickBot="1" x14ac:dyDescent="0.25">
      <c r="B43" s="341">
        <v>17</v>
      </c>
      <c r="C43" s="342" t="s">
        <v>300</v>
      </c>
      <c r="D43" s="342" t="s">
        <v>301</v>
      </c>
      <c r="E43" s="357">
        <v>0.95</v>
      </c>
      <c r="F43" s="351">
        <v>5</v>
      </c>
      <c r="R43" s="338"/>
      <c r="U43" s="832" t="s">
        <v>302</v>
      </c>
      <c r="V43" s="832"/>
      <c r="W43" s="832"/>
      <c r="X43" s="832"/>
      <c r="Y43" s="832"/>
      <c r="Z43" s="832"/>
      <c r="AA43" s="832"/>
      <c r="AD43" s="832" t="s">
        <v>303</v>
      </c>
      <c r="AE43" s="832"/>
      <c r="AF43" s="832"/>
      <c r="AG43" s="832"/>
      <c r="AH43" s="832"/>
      <c r="AI43" s="832"/>
      <c r="AJ43" s="832"/>
      <c r="AM43" s="832" t="s">
        <v>304</v>
      </c>
      <c r="AN43" s="832"/>
      <c r="AO43" s="832"/>
      <c r="AP43" s="832"/>
      <c r="AQ43" s="832"/>
      <c r="AR43" s="832"/>
      <c r="AS43" s="832"/>
      <c r="AU43" s="832" t="s">
        <v>305</v>
      </c>
      <c r="AV43" s="832"/>
      <c r="AW43" s="832"/>
      <c r="AX43" s="832"/>
      <c r="AY43" s="832"/>
      <c r="AZ43" s="832"/>
      <c r="BA43" s="832"/>
    </row>
    <row r="44" spans="2:53" s="111" customFormat="1" ht="51.75" thickBot="1" x14ac:dyDescent="0.3">
      <c r="B44" s="341">
        <v>18</v>
      </c>
      <c r="C44" s="342" t="s">
        <v>306</v>
      </c>
      <c r="D44" s="342" t="s">
        <v>307</v>
      </c>
      <c r="E44" s="633">
        <v>0.65900000000000003</v>
      </c>
      <c r="F44" s="351">
        <v>4</v>
      </c>
      <c r="H44" s="340" t="s">
        <v>288</v>
      </c>
      <c r="R44" s="338"/>
      <c r="T44" s="361" t="s">
        <v>308</v>
      </c>
      <c r="U44" s="846" t="s">
        <v>309</v>
      </c>
      <c r="V44" s="846"/>
      <c r="W44" s="846"/>
      <c r="X44" s="361"/>
      <c r="Y44" s="846" t="s">
        <v>310</v>
      </c>
      <c r="Z44" s="846"/>
      <c r="AA44" s="846"/>
      <c r="AC44" s="362" t="s">
        <v>311</v>
      </c>
      <c r="AD44" s="847" t="s">
        <v>309</v>
      </c>
      <c r="AE44" s="847"/>
      <c r="AF44" s="847"/>
      <c r="AG44" s="363"/>
      <c r="AH44" s="847" t="s">
        <v>310</v>
      </c>
      <c r="AI44" s="847"/>
      <c r="AJ44" s="847"/>
      <c r="AL44" s="364" t="s">
        <v>312</v>
      </c>
      <c r="AM44" s="846" t="s">
        <v>309</v>
      </c>
      <c r="AN44" s="846"/>
      <c r="AO44" s="846"/>
      <c r="AP44" s="361"/>
      <c r="AQ44" s="846" t="s">
        <v>310</v>
      </c>
      <c r="AR44" s="846"/>
      <c r="AS44" s="846"/>
      <c r="AU44" s="832" t="s">
        <v>309</v>
      </c>
      <c r="AV44" s="832"/>
      <c r="AW44" s="832"/>
      <c r="AY44" s="832" t="s">
        <v>310</v>
      </c>
      <c r="AZ44" s="832"/>
      <c r="BA44" s="832"/>
    </row>
    <row r="45" spans="2:53" s="111" customFormat="1" ht="16.5" thickBot="1" x14ac:dyDescent="0.3">
      <c r="B45" s="828" t="s">
        <v>313</v>
      </c>
      <c r="C45" s="829"/>
      <c r="D45" s="829"/>
      <c r="E45" s="830"/>
      <c r="F45" s="365">
        <v>0.09</v>
      </c>
      <c r="O45" s="366">
        <v>1</v>
      </c>
      <c r="P45" s="366">
        <v>4</v>
      </c>
      <c r="R45" s="338"/>
      <c r="U45" s="367">
        <v>1</v>
      </c>
      <c r="V45" s="368">
        <v>0</v>
      </c>
      <c r="W45" s="369">
        <f t="shared" ref="W45:W63" si="0">+V45/V$64*100</f>
        <v>0</v>
      </c>
      <c r="Y45" s="367">
        <v>1</v>
      </c>
      <c r="Z45" s="368">
        <v>0</v>
      </c>
      <c r="AA45" s="370">
        <f>+Z45/Z$64*100</f>
        <v>0</v>
      </c>
      <c r="AD45" s="367">
        <v>1</v>
      </c>
      <c r="AE45" s="368">
        <v>0</v>
      </c>
      <c r="AF45" s="369">
        <f t="shared" ref="AF45:AF63" si="1">+AE45/AE$64*100</f>
        <v>0</v>
      </c>
      <c r="AH45" s="367">
        <v>1</v>
      </c>
      <c r="AI45" s="368">
        <v>0</v>
      </c>
      <c r="AJ45" s="369">
        <f t="shared" ref="AJ45:AJ63" si="2">+AI45/AI$64*100</f>
        <v>0</v>
      </c>
      <c r="AM45" s="367">
        <v>1</v>
      </c>
      <c r="AN45" s="366">
        <v>4</v>
      </c>
      <c r="AO45" s="369">
        <f t="shared" ref="AO45:AO63" si="3">+AN45/AN$64*100</f>
        <v>5.1282051282051277</v>
      </c>
      <c r="AQ45" s="367">
        <v>1</v>
      </c>
      <c r="AR45" s="366">
        <v>4</v>
      </c>
      <c r="AS45" s="369">
        <f t="shared" ref="AS45:AS63" si="4">+AR45/AR$64*100</f>
        <v>5.7142857142857144</v>
      </c>
      <c r="AU45" s="367">
        <v>1</v>
      </c>
      <c r="AV45" s="366">
        <v>4</v>
      </c>
      <c r="AW45" s="371">
        <f t="shared" ref="AW45:AW63" si="5">+AV45/AV$64*100</f>
        <v>4.2105263157894735</v>
      </c>
      <c r="AY45" s="367">
        <v>1</v>
      </c>
      <c r="AZ45" s="366">
        <v>4</v>
      </c>
      <c r="BA45" s="371">
        <f t="shared" ref="BA45:BA63" si="6">+AZ45/AZ$64*100</f>
        <v>4.5977011494252871</v>
      </c>
    </row>
    <row r="46" spans="2:53" s="111" customFormat="1" ht="16.5" thickBot="1" x14ac:dyDescent="0.3">
      <c r="B46" s="828" t="s">
        <v>314</v>
      </c>
      <c r="C46" s="829"/>
      <c r="D46" s="829"/>
      <c r="E46" s="830"/>
      <c r="F46" s="365">
        <v>1</v>
      </c>
      <c r="O46" s="366">
        <f>+O45+1</f>
        <v>2</v>
      </c>
      <c r="P46" s="366">
        <v>4</v>
      </c>
      <c r="R46" s="338"/>
      <c r="U46" s="367">
        <f>+U45+1</f>
        <v>2</v>
      </c>
      <c r="V46" s="366">
        <v>4</v>
      </c>
      <c r="W46" s="370">
        <f t="shared" si="0"/>
        <v>5.7971014492753623</v>
      </c>
      <c r="Y46" s="367">
        <f>+Y45+1</f>
        <v>2</v>
      </c>
      <c r="Z46" s="368">
        <v>0</v>
      </c>
      <c r="AA46" s="370">
        <f t="shared" ref="AA46:AA63" si="7">+Z46/Z$64*100</f>
        <v>0</v>
      </c>
      <c r="AD46" s="367">
        <f>+AD45+1</f>
        <v>2</v>
      </c>
      <c r="AE46" s="366">
        <v>4</v>
      </c>
      <c r="AF46" s="371">
        <f t="shared" si="1"/>
        <v>4.1666666666666661</v>
      </c>
      <c r="AH46" s="367">
        <f>+AH45+1</f>
        <v>2</v>
      </c>
      <c r="AI46" s="368">
        <v>0</v>
      </c>
      <c r="AJ46" s="369">
        <f t="shared" si="2"/>
        <v>0</v>
      </c>
      <c r="AM46" s="367">
        <f>+AM45+1</f>
        <v>2</v>
      </c>
      <c r="AN46" s="366">
        <v>4</v>
      </c>
      <c r="AO46" s="371">
        <f t="shared" si="3"/>
        <v>5.1282051282051277</v>
      </c>
      <c r="AQ46" s="367">
        <f>+AQ45+1</f>
        <v>2</v>
      </c>
      <c r="AR46" s="368">
        <v>0</v>
      </c>
      <c r="AS46" s="369">
        <f t="shared" si="4"/>
        <v>0</v>
      </c>
      <c r="AU46" s="367">
        <f>+AU45+1</f>
        <v>2</v>
      </c>
      <c r="AV46" s="366">
        <v>4</v>
      </c>
      <c r="AW46" s="371">
        <f t="shared" si="5"/>
        <v>4.2105263157894735</v>
      </c>
      <c r="AY46" s="367">
        <f>+AY45+1</f>
        <v>2</v>
      </c>
      <c r="AZ46" s="368">
        <v>0</v>
      </c>
      <c r="BA46" s="371">
        <f t="shared" si="6"/>
        <v>0</v>
      </c>
    </row>
    <row r="47" spans="2:53" s="111" customFormat="1" ht="15.75" x14ac:dyDescent="0.25">
      <c r="O47" s="366">
        <v>2</v>
      </c>
      <c r="P47" s="366">
        <v>4</v>
      </c>
      <c r="R47" s="338"/>
      <c r="U47" s="367">
        <v>2</v>
      </c>
      <c r="V47" s="366">
        <v>4</v>
      </c>
      <c r="W47" s="370">
        <f t="shared" si="0"/>
        <v>5.7971014492753623</v>
      </c>
      <c r="Y47" s="367">
        <v>2</v>
      </c>
      <c r="Z47" s="368">
        <v>0</v>
      </c>
      <c r="AA47" s="370">
        <f t="shared" si="7"/>
        <v>0</v>
      </c>
      <c r="AD47" s="367">
        <v>2</v>
      </c>
      <c r="AE47" s="366">
        <v>4</v>
      </c>
      <c r="AF47" s="371">
        <f t="shared" si="1"/>
        <v>4.1666666666666661</v>
      </c>
      <c r="AH47" s="367">
        <v>2</v>
      </c>
      <c r="AI47" s="368">
        <v>0</v>
      </c>
      <c r="AJ47" s="369">
        <f t="shared" si="2"/>
        <v>0</v>
      </c>
      <c r="AM47" s="367">
        <v>2</v>
      </c>
      <c r="AN47" s="366">
        <v>4</v>
      </c>
      <c r="AO47" s="371">
        <f t="shared" si="3"/>
        <v>5.1282051282051277</v>
      </c>
      <c r="AQ47" s="367">
        <v>2</v>
      </c>
      <c r="AR47" s="368">
        <v>0</v>
      </c>
      <c r="AS47" s="369">
        <f t="shared" si="4"/>
        <v>0</v>
      </c>
      <c r="AU47" s="367">
        <v>2</v>
      </c>
      <c r="AV47" s="366">
        <v>4</v>
      </c>
      <c r="AW47" s="371">
        <f t="shared" si="5"/>
        <v>4.2105263157894735</v>
      </c>
      <c r="AY47" s="367">
        <v>2</v>
      </c>
      <c r="AZ47" s="368">
        <v>0</v>
      </c>
      <c r="BA47" s="371">
        <f t="shared" si="6"/>
        <v>0</v>
      </c>
    </row>
    <row r="48" spans="2:53" s="111" customFormat="1" ht="15.75" x14ac:dyDescent="0.25">
      <c r="O48" s="366">
        <f>+O47+1</f>
        <v>3</v>
      </c>
      <c r="P48" s="366">
        <v>6</v>
      </c>
      <c r="R48" s="338"/>
      <c r="U48" s="367">
        <f>+U47+1</f>
        <v>3</v>
      </c>
      <c r="V48" s="366">
        <v>6</v>
      </c>
      <c r="W48" s="372">
        <f t="shared" si="0"/>
        <v>8.695652173913043</v>
      </c>
      <c r="Y48" s="367">
        <f>+Y47+1</f>
        <v>3</v>
      </c>
      <c r="Z48" s="366">
        <v>6</v>
      </c>
      <c r="AA48" s="370">
        <f t="shared" si="7"/>
        <v>9.8360655737704921</v>
      </c>
      <c r="AD48" s="367">
        <f>+AD47+1</f>
        <v>3</v>
      </c>
      <c r="AE48" s="366">
        <v>6</v>
      </c>
      <c r="AF48" s="369">
        <f t="shared" si="1"/>
        <v>6.25</v>
      </c>
      <c r="AH48" s="367">
        <f>+AH47+1</f>
        <v>3</v>
      </c>
      <c r="AI48" s="366">
        <v>6</v>
      </c>
      <c r="AJ48" s="369">
        <f t="shared" si="2"/>
        <v>6.8181818181818175</v>
      </c>
      <c r="AM48" s="367">
        <f>+AM47+1</f>
        <v>3</v>
      </c>
      <c r="AN48" s="366">
        <v>6</v>
      </c>
      <c r="AO48" s="369">
        <f t="shared" si="3"/>
        <v>7.6923076923076925</v>
      </c>
      <c r="AQ48" s="367">
        <f>+AQ47+1</f>
        <v>3</v>
      </c>
      <c r="AR48" s="366">
        <v>6</v>
      </c>
      <c r="AS48" s="369">
        <f t="shared" si="4"/>
        <v>8.5714285714285712</v>
      </c>
      <c r="AU48" s="367">
        <f>+AU47+1</f>
        <v>3</v>
      </c>
      <c r="AV48" s="366">
        <v>6</v>
      </c>
      <c r="AW48" s="369">
        <f t="shared" si="5"/>
        <v>6.3157894736842106</v>
      </c>
      <c r="AY48" s="367">
        <f>+AY47+1</f>
        <v>3</v>
      </c>
      <c r="AZ48" s="366">
        <v>6</v>
      </c>
      <c r="BA48" s="369">
        <f t="shared" si="6"/>
        <v>6.8965517241379306</v>
      </c>
    </row>
    <row r="49" spans="3:53" s="111" customFormat="1" ht="15.75" x14ac:dyDescent="0.25">
      <c r="O49" s="366">
        <f>+O48+1</f>
        <v>4</v>
      </c>
      <c r="P49" s="366">
        <v>5</v>
      </c>
      <c r="R49" s="338"/>
      <c r="U49" s="367">
        <f>+U48+1</f>
        <v>4</v>
      </c>
      <c r="V49" s="366">
        <v>5</v>
      </c>
      <c r="W49" s="369">
        <f t="shared" si="0"/>
        <v>7.2463768115942031</v>
      </c>
      <c r="Y49" s="367">
        <f>+Y48+1</f>
        <v>4</v>
      </c>
      <c r="Z49" s="366">
        <v>5</v>
      </c>
      <c r="AA49" s="370">
        <f t="shared" si="7"/>
        <v>8.1967213114754092</v>
      </c>
      <c r="AD49" s="367">
        <f>+AD48+1</f>
        <v>4</v>
      </c>
      <c r="AE49" s="366">
        <v>5</v>
      </c>
      <c r="AF49" s="373">
        <f t="shared" si="1"/>
        <v>5.2083333333333339</v>
      </c>
      <c r="AH49" s="367">
        <f>+AH48+1</f>
        <v>4</v>
      </c>
      <c r="AI49" s="366">
        <v>5</v>
      </c>
      <c r="AJ49" s="369">
        <f t="shared" si="2"/>
        <v>5.6818181818181817</v>
      </c>
      <c r="AM49" s="367">
        <f>+AM48+1</f>
        <v>4</v>
      </c>
      <c r="AN49" s="366">
        <v>5</v>
      </c>
      <c r="AO49" s="373">
        <f t="shared" si="3"/>
        <v>6.4102564102564097</v>
      </c>
      <c r="AQ49" s="367">
        <f>+AQ48+1</f>
        <v>4</v>
      </c>
      <c r="AR49" s="366">
        <v>5</v>
      </c>
      <c r="AS49" s="369">
        <f t="shared" si="4"/>
        <v>7.1428571428571423</v>
      </c>
      <c r="AU49" s="367">
        <f>+AU48+1</f>
        <v>4</v>
      </c>
      <c r="AV49" s="366">
        <v>5</v>
      </c>
      <c r="AW49" s="374">
        <f t="shared" si="5"/>
        <v>5.2631578947368416</v>
      </c>
      <c r="AY49" s="367">
        <f>+AY48+1</f>
        <v>4</v>
      </c>
      <c r="AZ49" s="366">
        <v>5</v>
      </c>
      <c r="BA49" s="369">
        <f t="shared" si="6"/>
        <v>5.7471264367816088</v>
      </c>
    </row>
    <row r="50" spans="3:53" s="111" customFormat="1" ht="15.75" x14ac:dyDescent="0.25">
      <c r="O50" s="366">
        <f>+O49+1</f>
        <v>5</v>
      </c>
      <c r="P50" s="366">
        <v>5</v>
      </c>
      <c r="R50" s="338"/>
      <c r="U50" s="367">
        <f>+U49+1</f>
        <v>5</v>
      </c>
      <c r="V50" s="366">
        <v>5</v>
      </c>
      <c r="W50" s="369">
        <f t="shared" si="0"/>
        <v>7.2463768115942031</v>
      </c>
      <c r="Y50" s="367">
        <f>+Y49+1</f>
        <v>5</v>
      </c>
      <c r="Z50" s="366">
        <v>5</v>
      </c>
      <c r="AA50" s="370">
        <f t="shared" si="7"/>
        <v>8.1967213114754092</v>
      </c>
      <c r="AD50" s="367">
        <f>+AD49+1</f>
        <v>5</v>
      </c>
      <c r="AE50" s="366">
        <v>5</v>
      </c>
      <c r="AF50" s="373">
        <f t="shared" si="1"/>
        <v>5.2083333333333339</v>
      </c>
      <c r="AH50" s="367">
        <f>+AH49+1</f>
        <v>5</v>
      </c>
      <c r="AI50" s="366">
        <v>5</v>
      </c>
      <c r="AJ50" s="369">
        <f t="shared" si="2"/>
        <v>5.6818181818181817</v>
      </c>
      <c r="AM50" s="367">
        <f>+AM49+1</f>
        <v>5</v>
      </c>
      <c r="AN50" s="366">
        <v>5</v>
      </c>
      <c r="AO50" s="373">
        <f t="shared" si="3"/>
        <v>6.4102564102564097</v>
      </c>
      <c r="AQ50" s="367">
        <f>+AQ49+1</f>
        <v>5</v>
      </c>
      <c r="AR50" s="366">
        <v>5</v>
      </c>
      <c r="AS50" s="369">
        <f t="shared" si="4"/>
        <v>7.1428571428571423</v>
      </c>
      <c r="AU50" s="367">
        <f>+AU49+1</f>
        <v>5</v>
      </c>
      <c r="AV50" s="366">
        <v>5</v>
      </c>
      <c r="AW50" s="374">
        <f t="shared" si="5"/>
        <v>5.2631578947368416</v>
      </c>
      <c r="AY50" s="367">
        <f>+AY49+1</f>
        <v>5</v>
      </c>
      <c r="AZ50" s="366">
        <v>5</v>
      </c>
      <c r="BA50" s="369">
        <f t="shared" si="6"/>
        <v>5.7471264367816088</v>
      </c>
    </row>
    <row r="51" spans="3:53" ht="15.75" x14ac:dyDescent="0.25">
      <c r="O51" s="366">
        <f>+O50+1</f>
        <v>6</v>
      </c>
      <c r="P51" s="366">
        <v>6</v>
      </c>
      <c r="U51" s="367">
        <f>+U50+1</f>
        <v>6</v>
      </c>
      <c r="V51" s="366">
        <v>6</v>
      </c>
      <c r="W51" s="372">
        <f t="shared" si="0"/>
        <v>8.695652173913043</v>
      </c>
      <c r="Y51" s="367">
        <f>+Y50+1</f>
        <v>6</v>
      </c>
      <c r="Z51" s="366">
        <v>6</v>
      </c>
      <c r="AA51" s="370">
        <f t="shared" si="7"/>
        <v>9.8360655737704921</v>
      </c>
      <c r="AD51" s="367">
        <f>+AD50+1</f>
        <v>6</v>
      </c>
      <c r="AE51" s="366">
        <v>6</v>
      </c>
      <c r="AF51" s="369">
        <f t="shared" si="1"/>
        <v>6.25</v>
      </c>
      <c r="AH51" s="367">
        <f>+AH50+1</f>
        <v>6</v>
      </c>
      <c r="AI51" s="366">
        <v>6</v>
      </c>
      <c r="AJ51" s="369">
        <f t="shared" si="2"/>
        <v>6.8181818181818175</v>
      </c>
      <c r="AM51" s="367">
        <f>+AM50+1</f>
        <v>6</v>
      </c>
      <c r="AN51" s="366">
        <v>6</v>
      </c>
      <c r="AO51" s="369">
        <f t="shared" si="3"/>
        <v>7.6923076923076925</v>
      </c>
      <c r="AQ51" s="367">
        <f>+AQ50+1</f>
        <v>6</v>
      </c>
      <c r="AR51" s="366">
        <v>6</v>
      </c>
      <c r="AS51" s="369">
        <f t="shared" si="4"/>
        <v>8.5714285714285712</v>
      </c>
      <c r="AU51" s="367">
        <f>+AU50+1</f>
        <v>6</v>
      </c>
      <c r="AV51" s="366">
        <v>6</v>
      </c>
      <c r="AW51" s="369">
        <f t="shared" si="5"/>
        <v>6.3157894736842106</v>
      </c>
      <c r="AY51" s="367">
        <f>+AY50+1</f>
        <v>6</v>
      </c>
      <c r="AZ51" s="366">
        <v>6</v>
      </c>
      <c r="BA51" s="369">
        <f t="shared" si="6"/>
        <v>6.8965517241379306</v>
      </c>
    </row>
    <row r="52" spans="3:53" ht="15.75" x14ac:dyDescent="0.25">
      <c r="E52" t="s">
        <v>188</v>
      </c>
      <c r="F52" t="s">
        <v>521</v>
      </c>
      <c r="O52" s="366">
        <v>6</v>
      </c>
      <c r="P52" s="366">
        <v>6</v>
      </c>
      <c r="U52" s="367">
        <v>6</v>
      </c>
      <c r="V52" s="366">
        <v>6</v>
      </c>
      <c r="W52" s="372">
        <f t="shared" si="0"/>
        <v>8.695652173913043</v>
      </c>
      <c r="Y52" s="367">
        <v>6</v>
      </c>
      <c r="Z52" s="366">
        <v>6</v>
      </c>
      <c r="AA52" s="370">
        <f t="shared" si="7"/>
        <v>9.8360655737704921</v>
      </c>
      <c r="AD52" s="367">
        <v>6</v>
      </c>
      <c r="AE52" s="366">
        <v>6</v>
      </c>
      <c r="AF52" s="369">
        <f t="shared" si="1"/>
        <v>6.25</v>
      </c>
      <c r="AH52" s="367">
        <v>6</v>
      </c>
      <c r="AI52" s="366">
        <v>6</v>
      </c>
      <c r="AJ52" s="369">
        <f t="shared" si="2"/>
        <v>6.8181818181818175</v>
      </c>
      <c r="AM52" s="367">
        <v>6</v>
      </c>
      <c r="AN52" s="366">
        <v>6</v>
      </c>
      <c r="AO52" s="369">
        <f t="shared" si="3"/>
        <v>7.6923076923076925</v>
      </c>
      <c r="AQ52" s="367">
        <v>6</v>
      </c>
      <c r="AR52" s="366">
        <v>6</v>
      </c>
      <c r="AS52" s="369">
        <f t="shared" si="4"/>
        <v>8.5714285714285712</v>
      </c>
      <c r="AU52" s="367">
        <v>6</v>
      </c>
      <c r="AV52" s="366">
        <v>6</v>
      </c>
      <c r="AW52" s="369">
        <f t="shared" si="5"/>
        <v>6.3157894736842106</v>
      </c>
      <c r="AY52" s="367">
        <v>6</v>
      </c>
      <c r="AZ52" s="366">
        <v>6</v>
      </c>
      <c r="BA52" s="369">
        <f t="shared" si="6"/>
        <v>6.8965517241379306</v>
      </c>
    </row>
    <row r="53" spans="3:53" ht="15.75" x14ac:dyDescent="0.25">
      <c r="C53" s="642"/>
      <c r="D53" s="642" t="s">
        <v>464</v>
      </c>
      <c r="E53" s="642">
        <v>4</v>
      </c>
      <c r="F53" s="642">
        <v>24</v>
      </c>
      <c r="O53" s="366">
        <f>+O52+1</f>
        <v>7</v>
      </c>
      <c r="P53" s="366">
        <v>5</v>
      </c>
      <c r="U53" s="367">
        <f>+U52+1</f>
        <v>7</v>
      </c>
      <c r="V53" s="366">
        <v>5</v>
      </c>
      <c r="W53" s="369">
        <f t="shared" si="0"/>
        <v>7.2463768115942031</v>
      </c>
      <c r="Y53" s="367">
        <f>+Y52+1</f>
        <v>7</v>
      </c>
      <c r="Z53" s="366">
        <v>5</v>
      </c>
      <c r="AA53" s="370">
        <f t="shared" si="7"/>
        <v>8.1967213114754092</v>
      </c>
      <c r="AD53" s="367">
        <f>+AD52+1</f>
        <v>7</v>
      </c>
      <c r="AE53" s="366">
        <v>5</v>
      </c>
      <c r="AF53" s="373">
        <f t="shared" si="1"/>
        <v>5.2083333333333339</v>
      </c>
      <c r="AH53" s="367">
        <f>+AH52+1</f>
        <v>7</v>
      </c>
      <c r="AI53" s="366">
        <v>5</v>
      </c>
      <c r="AJ53" s="369">
        <f t="shared" si="2"/>
        <v>5.6818181818181817</v>
      </c>
      <c r="AM53" s="367">
        <f>+AM52+1</f>
        <v>7</v>
      </c>
      <c r="AN53" s="366">
        <v>5</v>
      </c>
      <c r="AO53" s="373">
        <f t="shared" si="3"/>
        <v>6.4102564102564097</v>
      </c>
      <c r="AQ53" s="367">
        <f>+AQ52+1</f>
        <v>7</v>
      </c>
      <c r="AR53" s="366">
        <v>5</v>
      </c>
      <c r="AS53" s="369">
        <f t="shared" si="4"/>
        <v>7.1428571428571423</v>
      </c>
      <c r="AU53" s="367">
        <f>+AU52+1</f>
        <v>7</v>
      </c>
      <c r="AV53" s="366">
        <v>5</v>
      </c>
      <c r="AW53" s="374">
        <f t="shared" si="5"/>
        <v>5.2631578947368416</v>
      </c>
      <c r="AY53" s="367">
        <f>+AY52+1</f>
        <v>7</v>
      </c>
      <c r="AZ53" s="366">
        <v>5</v>
      </c>
      <c r="BA53" s="369">
        <f t="shared" si="6"/>
        <v>5.7471264367816088</v>
      </c>
    </row>
    <row r="54" spans="3:53" ht="15.75" x14ac:dyDescent="0.25">
      <c r="C54" s="642" t="s">
        <v>315</v>
      </c>
      <c r="D54" s="666">
        <v>0.5</v>
      </c>
      <c r="E54" s="748">
        <v>5</v>
      </c>
      <c r="F54" s="748">
        <v>30</v>
      </c>
      <c r="O54" s="366">
        <f>+O53+1</f>
        <v>8</v>
      </c>
      <c r="P54" s="366">
        <v>6</v>
      </c>
      <c r="U54" s="367">
        <f>+U53+1</f>
        <v>8</v>
      </c>
      <c r="V54" s="366">
        <v>6</v>
      </c>
      <c r="W54" s="372">
        <f t="shared" si="0"/>
        <v>8.695652173913043</v>
      </c>
      <c r="Y54" s="367">
        <f>+Y53+1</f>
        <v>8</v>
      </c>
      <c r="Z54" s="366">
        <v>6</v>
      </c>
      <c r="AA54" s="370">
        <f t="shared" si="7"/>
        <v>9.8360655737704921</v>
      </c>
      <c r="AD54" s="367">
        <f>+AD53+1</f>
        <v>8</v>
      </c>
      <c r="AE54" s="366">
        <v>6</v>
      </c>
      <c r="AF54" s="369">
        <f t="shared" si="1"/>
        <v>6.25</v>
      </c>
      <c r="AH54" s="367">
        <f>+AH53+1</f>
        <v>8</v>
      </c>
      <c r="AI54" s="366">
        <v>6</v>
      </c>
      <c r="AJ54" s="369">
        <f t="shared" si="2"/>
        <v>6.8181818181818175</v>
      </c>
      <c r="AM54" s="367">
        <f>+AM53+1</f>
        <v>8</v>
      </c>
      <c r="AN54" s="366">
        <v>6</v>
      </c>
      <c r="AO54" s="369">
        <f t="shared" si="3"/>
        <v>7.6923076923076925</v>
      </c>
      <c r="AQ54" s="367">
        <f>+AQ53+1</f>
        <v>8</v>
      </c>
      <c r="AR54" s="366">
        <v>6</v>
      </c>
      <c r="AS54" s="369">
        <f t="shared" si="4"/>
        <v>8.5714285714285712</v>
      </c>
      <c r="AU54" s="367">
        <f>+AU53+1</f>
        <v>8</v>
      </c>
      <c r="AV54" s="366">
        <v>6</v>
      </c>
      <c r="AW54" s="369">
        <f t="shared" si="5"/>
        <v>6.3157894736842106</v>
      </c>
      <c r="AY54" s="367">
        <f>+AY53+1</f>
        <v>8</v>
      </c>
      <c r="AZ54" s="366">
        <v>6</v>
      </c>
      <c r="BA54" s="369">
        <f t="shared" si="6"/>
        <v>6.8965517241379306</v>
      </c>
    </row>
    <row r="55" spans="3:53" ht="77.25" x14ac:dyDescent="0.25">
      <c r="C55" s="783" t="s">
        <v>316</v>
      </c>
      <c r="D55" s="642"/>
      <c r="E55" s="642">
        <v>6</v>
      </c>
      <c r="F55" s="642">
        <v>40</v>
      </c>
      <c r="O55" s="366">
        <f>+O54+1</f>
        <v>9</v>
      </c>
      <c r="P55" s="366">
        <v>5</v>
      </c>
      <c r="U55" s="367">
        <f>+U54+1</f>
        <v>9</v>
      </c>
      <c r="V55" s="366">
        <v>5</v>
      </c>
      <c r="W55" s="369">
        <f t="shared" si="0"/>
        <v>7.2463768115942031</v>
      </c>
      <c r="Y55" s="367">
        <f>+Y54+1</f>
        <v>9</v>
      </c>
      <c r="Z55" s="366">
        <v>5</v>
      </c>
      <c r="AA55" s="370">
        <f t="shared" si="7"/>
        <v>8.1967213114754092</v>
      </c>
      <c r="AD55" s="367">
        <f>+AD54+1</f>
        <v>9</v>
      </c>
      <c r="AE55" s="366">
        <v>5</v>
      </c>
      <c r="AF55" s="373">
        <f t="shared" si="1"/>
        <v>5.2083333333333339</v>
      </c>
      <c r="AH55" s="367">
        <f>+AH54+1</f>
        <v>9</v>
      </c>
      <c r="AI55" s="366">
        <v>5</v>
      </c>
      <c r="AJ55" s="369">
        <f t="shared" si="2"/>
        <v>5.6818181818181817</v>
      </c>
      <c r="AM55" s="367">
        <f>+AM54+1</f>
        <v>9</v>
      </c>
      <c r="AN55" s="366">
        <v>5</v>
      </c>
      <c r="AO55" s="373">
        <f t="shared" si="3"/>
        <v>6.4102564102564097</v>
      </c>
      <c r="AQ55" s="367">
        <f>+AQ54+1</f>
        <v>9</v>
      </c>
      <c r="AR55" s="366">
        <v>5</v>
      </c>
      <c r="AS55" s="369">
        <f t="shared" si="4"/>
        <v>7.1428571428571423</v>
      </c>
      <c r="AU55" s="367">
        <f>+AU54+1</f>
        <v>9</v>
      </c>
      <c r="AV55" s="366">
        <v>5</v>
      </c>
      <c r="AW55" s="374">
        <f t="shared" si="5"/>
        <v>5.2631578947368416</v>
      </c>
      <c r="AY55" s="367">
        <f>+AY54+1</f>
        <v>9</v>
      </c>
      <c r="AZ55" s="366">
        <v>5</v>
      </c>
      <c r="BA55" s="369">
        <f t="shared" si="6"/>
        <v>5.7471264367816088</v>
      </c>
    </row>
    <row r="56" spans="3:53" ht="15.75" x14ac:dyDescent="0.25">
      <c r="C56" s="784" t="s">
        <v>499</v>
      </c>
      <c r="D56" s="642"/>
      <c r="E56" s="748">
        <v>7</v>
      </c>
      <c r="F56" s="748">
        <v>50</v>
      </c>
      <c r="H56" s="375">
        <v>4</v>
      </c>
      <c r="I56" s="375">
        <v>15</v>
      </c>
      <c r="O56" s="366">
        <f>+O55+1</f>
        <v>10</v>
      </c>
      <c r="P56" s="366">
        <v>6</v>
      </c>
      <c r="U56" s="367">
        <f>+U55+1</f>
        <v>10</v>
      </c>
      <c r="V56" s="366">
        <v>6</v>
      </c>
      <c r="W56" s="372">
        <f t="shared" si="0"/>
        <v>8.695652173913043</v>
      </c>
      <c r="Y56" s="367">
        <f>+Y55+1</f>
        <v>10</v>
      </c>
      <c r="Z56" s="366">
        <v>6</v>
      </c>
      <c r="AA56" s="370">
        <f t="shared" si="7"/>
        <v>9.8360655737704921</v>
      </c>
      <c r="AD56" s="367">
        <f>+AD55+1</f>
        <v>10</v>
      </c>
      <c r="AE56" s="366">
        <v>6</v>
      </c>
      <c r="AF56" s="369">
        <f t="shared" si="1"/>
        <v>6.25</v>
      </c>
      <c r="AH56" s="367">
        <f>+AH55+1</f>
        <v>10</v>
      </c>
      <c r="AI56" s="366">
        <v>6</v>
      </c>
      <c r="AJ56" s="369">
        <f t="shared" si="2"/>
        <v>6.8181818181818175</v>
      </c>
      <c r="AM56" s="367">
        <f>+AM55+1</f>
        <v>10</v>
      </c>
      <c r="AN56" s="366">
        <v>6</v>
      </c>
      <c r="AO56" s="369">
        <f t="shared" si="3"/>
        <v>7.6923076923076925</v>
      </c>
      <c r="AQ56" s="367">
        <f>+AQ55+1</f>
        <v>10</v>
      </c>
      <c r="AR56" s="366">
        <v>6</v>
      </c>
      <c r="AS56" s="369">
        <f t="shared" si="4"/>
        <v>8.5714285714285712</v>
      </c>
      <c r="AU56" s="367">
        <f>+AU55+1</f>
        <v>10</v>
      </c>
      <c r="AV56" s="366">
        <v>6</v>
      </c>
      <c r="AW56" s="369">
        <f t="shared" si="5"/>
        <v>6.3157894736842106</v>
      </c>
      <c r="AY56" s="367">
        <f>+AY55+1</f>
        <v>10</v>
      </c>
      <c r="AZ56" s="366">
        <v>6</v>
      </c>
      <c r="BA56" s="369">
        <f t="shared" si="6"/>
        <v>6.8965517241379306</v>
      </c>
    </row>
    <row r="57" spans="3:53" ht="15.75" x14ac:dyDescent="0.25">
      <c r="C57" s="642" t="s">
        <v>317</v>
      </c>
      <c r="D57" s="642"/>
      <c r="E57" s="642">
        <v>8</v>
      </c>
      <c r="F57" s="642">
        <v>60</v>
      </c>
      <c r="H57">
        <v>5</v>
      </c>
      <c r="I57">
        <v>27</v>
      </c>
      <c r="O57" s="366">
        <v>12</v>
      </c>
      <c r="P57" s="366">
        <v>5</v>
      </c>
      <c r="U57" s="367">
        <v>12</v>
      </c>
      <c r="V57" s="368">
        <v>0</v>
      </c>
      <c r="W57" s="369">
        <f t="shared" si="0"/>
        <v>0</v>
      </c>
      <c r="Y57" s="367">
        <v>12</v>
      </c>
      <c r="Z57" s="368">
        <v>0</v>
      </c>
      <c r="AA57" s="370">
        <f t="shared" si="7"/>
        <v>0</v>
      </c>
      <c r="AD57" s="367">
        <v>12</v>
      </c>
      <c r="AE57" s="368">
        <v>5</v>
      </c>
      <c r="AF57" s="373">
        <f t="shared" si="1"/>
        <v>5.2083333333333339</v>
      </c>
      <c r="AH57" s="367">
        <v>12</v>
      </c>
      <c r="AI57" s="368">
        <v>5</v>
      </c>
      <c r="AJ57" s="369">
        <f t="shared" si="2"/>
        <v>5.6818181818181817</v>
      </c>
      <c r="AM57" s="367">
        <v>12</v>
      </c>
      <c r="AN57" s="366">
        <v>5</v>
      </c>
      <c r="AO57" s="373">
        <f t="shared" si="3"/>
        <v>6.4102564102564097</v>
      </c>
      <c r="AQ57" s="367">
        <v>12</v>
      </c>
      <c r="AR57" s="366">
        <v>5</v>
      </c>
      <c r="AS57" s="369">
        <f t="shared" si="4"/>
        <v>7.1428571428571423</v>
      </c>
      <c r="AU57" s="367">
        <v>12</v>
      </c>
      <c r="AV57" s="368"/>
      <c r="AW57" s="369">
        <f t="shared" si="5"/>
        <v>0</v>
      </c>
      <c r="AY57" s="367">
        <v>12</v>
      </c>
      <c r="AZ57" s="368"/>
      <c r="BA57" s="369">
        <f t="shared" si="6"/>
        <v>0</v>
      </c>
    </row>
    <row r="58" spans="3:53" ht="15.75" x14ac:dyDescent="0.25">
      <c r="C58" s="642" t="s">
        <v>318</v>
      </c>
      <c r="D58" s="642"/>
      <c r="E58" s="748">
        <v>9</v>
      </c>
      <c r="F58" s="748">
        <v>70</v>
      </c>
      <c r="H58">
        <v>6</v>
      </c>
      <c r="I58">
        <v>39</v>
      </c>
      <c r="O58" s="366">
        <f t="shared" ref="O58:O63" si="8">+O57+1</f>
        <v>13</v>
      </c>
      <c r="P58" s="366">
        <v>6</v>
      </c>
      <c r="U58" s="367">
        <f t="shared" ref="U58:U63" si="9">+U57+1</f>
        <v>13</v>
      </c>
      <c r="V58" s="366">
        <v>6</v>
      </c>
      <c r="W58" s="372">
        <f t="shared" si="0"/>
        <v>8.695652173913043</v>
      </c>
      <c r="Y58" s="367">
        <f t="shared" ref="Y58:Y63" si="10">+Y57+1</f>
        <v>13</v>
      </c>
      <c r="Z58" s="366">
        <v>6</v>
      </c>
      <c r="AA58" s="370">
        <f t="shared" si="7"/>
        <v>9.8360655737704921</v>
      </c>
      <c r="AD58" s="367">
        <f t="shared" ref="AD58:AD63" si="11">+AD57+1</f>
        <v>13</v>
      </c>
      <c r="AE58" s="366">
        <v>6</v>
      </c>
      <c r="AF58" s="369">
        <f t="shared" si="1"/>
        <v>6.25</v>
      </c>
      <c r="AH58" s="367">
        <f t="shared" ref="AH58:AH63" si="12">+AH57+1</f>
        <v>13</v>
      </c>
      <c r="AI58" s="366">
        <v>6</v>
      </c>
      <c r="AJ58" s="369">
        <f t="shared" si="2"/>
        <v>6.8181818181818175</v>
      </c>
      <c r="AM58" s="367">
        <f t="shared" ref="AM58:AM63" si="13">+AM57+1</f>
        <v>13</v>
      </c>
      <c r="AN58" s="366">
        <v>6</v>
      </c>
      <c r="AO58" s="369">
        <f t="shared" si="3"/>
        <v>7.6923076923076925</v>
      </c>
      <c r="AQ58" s="367">
        <f t="shared" ref="AQ58:AQ63" si="14">+AQ57+1</f>
        <v>13</v>
      </c>
      <c r="AR58" s="366">
        <v>6</v>
      </c>
      <c r="AS58" s="369">
        <f t="shared" si="4"/>
        <v>8.5714285714285712</v>
      </c>
      <c r="AU58" s="367">
        <f t="shared" ref="AU58:AU63" si="15">+AU57+1</f>
        <v>13</v>
      </c>
      <c r="AV58" s="366">
        <v>6</v>
      </c>
      <c r="AW58" s="369">
        <f t="shared" si="5"/>
        <v>6.3157894736842106</v>
      </c>
      <c r="AY58" s="367">
        <f t="shared" ref="AY58:AY63" si="16">+AY57+1</f>
        <v>13</v>
      </c>
      <c r="AZ58" s="366">
        <v>6</v>
      </c>
      <c r="BA58" s="369">
        <f t="shared" si="6"/>
        <v>6.8965517241379306</v>
      </c>
    </row>
    <row r="59" spans="3:53" ht="15.75" x14ac:dyDescent="0.25">
      <c r="C59" s="642" t="s">
        <v>319</v>
      </c>
      <c r="D59" s="642"/>
      <c r="E59" s="642">
        <v>10</v>
      </c>
      <c r="F59" s="642">
        <v>80</v>
      </c>
      <c r="H59" s="375">
        <v>7</v>
      </c>
      <c r="I59" s="375">
        <v>50</v>
      </c>
      <c r="O59" s="366">
        <f t="shared" si="8"/>
        <v>14</v>
      </c>
      <c r="P59" s="366">
        <v>6</v>
      </c>
      <c r="U59" s="367">
        <f t="shared" si="9"/>
        <v>14</v>
      </c>
      <c r="V59" s="368">
        <v>0</v>
      </c>
      <c r="W59" s="369">
        <f t="shared" si="0"/>
        <v>0</v>
      </c>
      <c r="Y59" s="367">
        <f t="shared" si="10"/>
        <v>14</v>
      </c>
      <c r="Z59" s="368">
        <v>0</v>
      </c>
      <c r="AA59" s="370">
        <f t="shared" si="7"/>
        <v>0</v>
      </c>
      <c r="AD59" s="367">
        <f t="shared" si="11"/>
        <v>14</v>
      </c>
      <c r="AE59" s="368">
        <v>6</v>
      </c>
      <c r="AF59" s="369">
        <f t="shared" si="1"/>
        <v>6.25</v>
      </c>
      <c r="AH59" s="367">
        <f t="shared" si="12"/>
        <v>14</v>
      </c>
      <c r="AI59" s="368">
        <v>6</v>
      </c>
      <c r="AJ59" s="369">
        <f t="shared" si="2"/>
        <v>6.8181818181818175</v>
      </c>
      <c r="AM59" s="367">
        <f t="shared" si="13"/>
        <v>14</v>
      </c>
      <c r="AN59" s="368">
        <v>0</v>
      </c>
      <c r="AO59" s="369">
        <f t="shared" si="3"/>
        <v>0</v>
      </c>
      <c r="AQ59" s="367">
        <f t="shared" si="14"/>
        <v>14</v>
      </c>
      <c r="AR59" s="368">
        <v>0</v>
      </c>
      <c r="AS59" s="369">
        <f t="shared" si="4"/>
        <v>0</v>
      </c>
      <c r="AU59" s="367">
        <f t="shared" si="15"/>
        <v>14</v>
      </c>
      <c r="AV59" s="366">
        <v>6</v>
      </c>
      <c r="AW59" s="369">
        <f t="shared" si="5"/>
        <v>6.3157894736842106</v>
      </c>
      <c r="AY59" s="367">
        <f t="shared" si="16"/>
        <v>14</v>
      </c>
      <c r="AZ59" s="366">
        <v>6</v>
      </c>
      <c r="BA59" s="369">
        <f t="shared" si="6"/>
        <v>6.8965517241379306</v>
      </c>
    </row>
    <row r="60" spans="3:53" ht="15.75" x14ac:dyDescent="0.25">
      <c r="C60" s="642"/>
      <c r="D60" s="642"/>
      <c r="E60" s="642">
        <v>11</v>
      </c>
      <c r="F60" s="642">
        <v>90</v>
      </c>
      <c r="H60">
        <v>8</v>
      </c>
      <c r="I60">
        <v>60</v>
      </c>
      <c r="O60" s="366">
        <f t="shared" si="8"/>
        <v>15</v>
      </c>
      <c r="P60" s="366">
        <v>6</v>
      </c>
      <c r="U60" s="367">
        <f t="shared" si="9"/>
        <v>15</v>
      </c>
      <c r="V60" s="368">
        <v>0</v>
      </c>
      <c r="W60" s="369">
        <f t="shared" si="0"/>
        <v>0</v>
      </c>
      <c r="Y60" s="367">
        <f t="shared" si="10"/>
        <v>15</v>
      </c>
      <c r="Z60" s="368">
        <v>0</v>
      </c>
      <c r="AA60" s="370">
        <f t="shared" si="7"/>
        <v>0</v>
      </c>
      <c r="AD60" s="367">
        <f t="shared" si="11"/>
        <v>15</v>
      </c>
      <c r="AE60" s="368">
        <v>6</v>
      </c>
      <c r="AF60" s="369">
        <f t="shared" si="1"/>
        <v>6.25</v>
      </c>
      <c r="AH60" s="367">
        <f t="shared" si="12"/>
        <v>15</v>
      </c>
      <c r="AI60" s="368">
        <v>6</v>
      </c>
      <c r="AJ60" s="369">
        <f t="shared" si="2"/>
        <v>6.8181818181818175</v>
      </c>
      <c r="AM60" s="367">
        <f t="shared" si="13"/>
        <v>15</v>
      </c>
      <c r="AN60" s="368">
        <v>0</v>
      </c>
      <c r="AO60" s="369">
        <f t="shared" si="3"/>
        <v>0</v>
      </c>
      <c r="AQ60" s="367">
        <f t="shared" si="14"/>
        <v>15</v>
      </c>
      <c r="AR60" s="368">
        <v>0</v>
      </c>
      <c r="AS60" s="369">
        <f t="shared" si="4"/>
        <v>0</v>
      </c>
      <c r="AU60" s="367">
        <f t="shared" si="15"/>
        <v>15</v>
      </c>
      <c r="AV60" s="366">
        <v>6</v>
      </c>
      <c r="AW60" s="369">
        <f t="shared" si="5"/>
        <v>6.3157894736842106</v>
      </c>
      <c r="AY60" s="367">
        <f t="shared" si="16"/>
        <v>15</v>
      </c>
      <c r="AZ60" s="366">
        <v>6</v>
      </c>
      <c r="BA60" s="369">
        <f t="shared" si="6"/>
        <v>6.8965517241379306</v>
      </c>
    </row>
    <row r="61" spans="3:53" ht="15.75" x14ac:dyDescent="0.25">
      <c r="C61" s="642"/>
      <c r="D61" s="642"/>
      <c r="E61" s="748">
        <v>12</v>
      </c>
      <c r="F61" s="748">
        <v>100</v>
      </c>
      <c r="H61" s="375">
        <v>9</v>
      </c>
      <c r="I61" s="375">
        <v>70</v>
      </c>
      <c r="O61" s="366">
        <f t="shared" si="8"/>
        <v>16</v>
      </c>
      <c r="P61" s="366">
        <v>6</v>
      </c>
      <c r="U61" s="367">
        <f t="shared" si="9"/>
        <v>16</v>
      </c>
      <c r="V61" s="368">
        <v>0</v>
      </c>
      <c r="W61" s="369">
        <f t="shared" si="0"/>
        <v>0</v>
      </c>
      <c r="Y61" s="367">
        <f t="shared" si="10"/>
        <v>16</v>
      </c>
      <c r="Z61" s="368">
        <v>0</v>
      </c>
      <c r="AA61" s="370">
        <f t="shared" si="7"/>
        <v>0</v>
      </c>
      <c r="AD61" s="367">
        <f t="shared" si="11"/>
        <v>16</v>
      </c>
      <c r="AE61" s="368">
        <v>6</v>
      </c>
      <c r="AF61" s="369">
        <f t="shared" si="1"/>
        <v>6.25</v>
      </c>
      <c r="AH61" s="367">
        <f t="shared" si="12"/>
        <v>16</v>
      </c>
      <c r="AI61" s="368">
        <v>6</v>
      </c>
      <c r="AJ61" s="369">
        <f t="shared" si="2"/>
        <v>6.8181818181818175</v>
      </c>
      <c r="AM61" s="367">
        <f t="shared" si="13"/>
        <v>16</v>
      </c>
      <c r="AN61" s="368">
        <v>0</v>
      </c>
      <c r="AO61" s="369">
        <f t="shared" si="3"/>
        <v>0</v>
      </c>
      <c r="AQ61" s="367">
        <f t="shared" si="14"/>
        <v>16</v>
      </c>
      <c r="AR61" s="368">
        <v>0</v>
      </c>
      <c r="AS61" s="369">
        <f t="shared" si="4"/>
        <v>0</v>
      </c>
      <c r="AU61" s="367">
        <f t="shared" si="15"/>
        <v>16</v>
      </c>
      <c r="AV61" s="366">
        <v>6</v>
      </c>
      <c r="AW61" s="369">
        <f t="shared" si="5"/>
        <v>6.3157894736842106</v>
      </c>
      <c r="AY61" s="367">
        <f t="shared" si="16"/>
        <v>16</v>
      </c>
      <c r="AZ61" s="366">
        <v>6</v>
      </c>
      <c r="BA61" s="369">
        <f t="shared" si="6"/>
        <v>6.8965517241379306</v>
      </c>
    </row>
    <row r="62" spans="3:53" ht="15.75" x14ac:dyDescent="0.25">
      <c r="C62" t="s">
        <v>315</v>
      </c>
      <c r="H62">
        <v>10</v>
      </c>
      <c r="I62">
        <v>80</v>
      </c>
      <c r="O62" s="366">
        <f t="shared" si="8"/>
        <v>17</v>
      </c>
      <c r="P62" s="366">
        <v>5</v>
      </c>
      <c r="U62" s="367">
        <f t="shared" si="9"/>
        <v>17</v>
      </c>
      <c r="V62" s="366">
        <v>5</v>
      </c>
      <c r="W62" s="369">
        <f t="shared" si="0"/>
        <v>7.2463768115942031</v>
      </c>
      <c r="Y62" s="367">
        <f t="shared" si="10"/>
        <v>17</v>
      </c>
      <c r="Z62" s="366">
        <v>5</v>
      </c>
      <c r="AA62" s="370">
        <f t="shared" si="7"/>
        <v>8.1967213114754092</v>
      </c>
      <c r="AD62" s="367">
        <f t="shared" si="11"/>
        <v>17</v>
      </c>
      <c r="AE62" s="366">
        <v>5</v>
      </c>
      <c r="AF62" s="373">
        <f t="shared" si="1"/>
        <v>5.2083333333333339</v>
      </c>
      <c r="AH62" s="367">
        <f t="shared" si="12"/>
        <v>17</v>
      </c>
      <c r="AI62" s="366">
        <v>5</v>
      </c>
      <c r="AJ62" s="369">
        <f t="shared" si="2"/>
        <v>5.6818181818181817</v>
      </c>
      <c r="AM62" s="367">
        <f t="shared" si="13"/>
        <v>17</v>
      </c>
      <c r="AN62" s="366">
        <v>5</v>
      </c>
      <c r="AO62" s="373">
        <f t="shared" si="3"/>
        <v>6.4102564102564097</v>
      </c>
      <c r="AQ62" s="367">
        <f t="shared" si="14"/>
        <v>17</v>
      </c>
      <c r="AR62" s="366">
        <v>5</v>
      </c>
      <c r="AS62" s="369">
        <f t="shared" si="4"/>
        <v>7.1428571428571423</v>
      </c>
      <c r="AU62" s="367">
        <f t="shared" si="15"/>
        <v>17</v>
      </c>
      <c r="AV62" s="366">
        <v>5</v>
      </c>
      <c r="AW62" s="374">
        <f t="shared" si="5"/>
        <v>5.2631578947368416</v>
      </c>
      <c r="AY62" s="367">
        <f t="shared" si="16"/>
        <v>17</v>
      </c>
      <c r="AZ62" s="366">
        <v>5</v>
      </c>
      <c r="BA62" s="369">
        <f t="shared" si="6"/>
        <v>5.7471264367816088</v>
      </c>
    </row>
    <row r="63" spans="3:53" ht="15.75" x14ac:dyDescent="0.25">
      <c r="C63" t="s">
        <v>316</v>
      </c>
      <c r="H63">
        <v>11</v>
      </c>
      <c r="I63">
        <v>90</v>
      </c>
      <c r="O63" s="366">
        <f t="shared" si="8"/>
        <v>18</v>
      </c>
      <c r="P63" s="366">
        <v>4</v>
      </c>
      <c r="U63" s="367">
        <f t="shared" si="9"/>
        <v>18</v>
      </c>
      <c r="V63" s="368">
        <v>0</v>
      </c>
      <c r="W63" s="369">
        <f t="shared" si="0"/>
        <v>0</v>
      </c>
      <c r="Y63" s="367">
        <f t="shared" si="10"/>
        <v>18</v>
      </c>
      <c r="Z63" s="368">
        <v>0</v>
      </c>
      <c r="AA63" s="370">
        <f t="shared" si="7"/>
        <v>0</v>
      </c>
      <c r="AD63" s="367">
        <f t="shared" si="11"/>
        <v>18</v>
      </c>
      <c r="AE63" s="368">
        <v>4</v>
      </c>
      <c r="AF63" s="371">
        <f t="shared" si="1"/>
        <v>4.1666666666666661</v>
      </c>
      <c r="AH63" s="367">
        <f t="shared" si="12"/>
        <v>18</v>
      </c>
      <c r="AI63" s="368">
        <v>4</v>
      </c>
      <c r="AJ63" s="369">
        <f t="shared" si="2"/>
        <v>4.5454545454545459</v>
      </c>
      <c r="AM63" s="367">
        <f t="shared" si="13"/>
        <v>18</v>
      </c>
      <c r="AN63" s="368">
        <v>0</v>
      </c>
      <c r="AO63" s="371">
        <f t="shared" si="3"/>
        <v>0</v>
      </c>
      <c r="AQ63" s="367">
        <f t="shared" si="14"/>
        <v>18</v>
      </c>
      <c r="AR63" s="368">
        <v>0</v>
      </c>
      <c r="AS63" s="369">
        <f t="shared" si="4"/>
        <v>0</v>
      </c>
      <c r="AU63" s="367">
        <f t="shared" si="15"/>
        <v>18</v>
      </c>
      <c r="AV63" s="366">
        <v>4</v>
      </c>
      <c r="AW63" s="371">
        <f t="shared" si="5"/>
        <v>4.2105263157894735</v>
      </c>
      <c r="AY63" s="367">
        <f t="shared" si="16"/>
        <v>18</v>
      </c>
      <c r="AZ63" s="366">
        <v>4</v>
      </c>
      <c r="BA63" s="371">
        <f t="shared" si="6"/>
        <v>4.5977011494252871</v>
      </c>
    </row>
    <row r="64" spans="3:53" x14ac:dyDescent="0.2">
      <c r="C64" s="749" t="s">
        <v>499</v>
      </c>
      <c r="H64">
        <v>12</v>
      </c>
      <c r="I64">
        <v>100</v>
      </c>
      <c r="O64" s="111"/>
      <c r="P64">
        <f>SUM(P45:P63)</f>
        <v>100</v>
      </c>
      <c r="V64">
        <f>SUM(V45:V63)</f>
        <v>69</v>
      </c>
      <c r="W64" s="334">
        <f>SUM(W45:W63)</f>
        <v>100.00000000000001</v>
      </c>
      <c r="Z64">
        <f>SUM(Z45:Z63)</f>
        <v>61</v>
      </c>
      <c r="AA64" s="335">
        <f>SUM(AA45:AA63)</f>
        <v>100.00000000000001</v>
      </c>
      <c r="AE64">
        <f>SUM(AE45:AE63)</f>
        <v>96</v>
      </c>
      <c r="AF64" s="334">
        <f>SUM(AF45:AF63)</f>
        <v>100</v>
      </c>
      <c r="AI64">
        <f>SUM(AI45:AI63)</f>
        <v>88</v>
      </c>
      <c r="AJ64" s="334">
        <f>SUM(AJ45:AJ63)</f>
        <v>99.999999999999986</v>
      </c>
      <c r="AN64">
        <f>SUM(AN45:AN63)</f>
        <v>78</v>
      </c>
      <c r="AO64" s="334">
        <f>SUM(AO45:AO63)</f>
        <v>100</v>
      </c>
      <c r="AR64">
        <f>SUM(AR45:AR63)</f>
        <v>70</v>
      </c>
      <c r="AS64" s="334">
        <f>SUM(AS45:AS63)</f>
        <v>99.999999999999972</v>
      </c>
      <c r="AV64">
        <f>SUM(AV45:AV63)</f>
        <v>95</v>
      </c>
      <c r="AW64" s="334">
        <f>SUM(AW45:AW63)</f>
        <v>99.999999999999986</v>
      </c>
      <c r="AZ64">
        <f>SUM(AZ45:AZ63)</f>
        <v>87</v>
      </c>
      <c r="BA64" s="334">
        <f>SUM(BA45:BA63)</f>
        <v>100.00000000000001</v>
      </c>
    </row>
    <row r="65" spans="2:5" x14ac:dyDescent="0.2">
      <c r="C65" t="s">
        <v>317</v>
      </c>
    </row>
    <row r="66" spans="2:5" x14ac:dyDescent="0.2">
      <c r="C66" t="s">
        <v>318</v>
      </c>
    </row>
    <row r="67" spans="2:5" x14ac:dyDescent="0.2">
      <c r="B67" s="376"/>
      <c r="C67" t="s">
        <v>319</v>
      </c>
    </row>
    <row r="68" spans="2:5" ht="45" customHeight="1" x14ac:dyDescent="0.2">
      <c r="B68" s="377"/>
      <c r="C68" s="378"/>
      <c r="D68" s="378"/>
      <c r="E68" s="378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Z46"/>
  <sheetViews>
    <sheetView zoomScale="85" zoomScaleNormal="85" workbookViewId="0">
      <pane xSplit="7" ySplit="7" topLeftCell="H11" activePane="bottomRight" state="frozen"/>
      <selection activeCell="M17" sqref="M17"/>
      <selection pane="topRight" activeCell="M17" sqref="M17"/>
      <selection pane="bottomLeft" activeCell="M17" sqref="M17"/>
      <selection pane="bottomRight" activeCell="I16" sqref="I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5" customWidth="1"/>
    <col min="8" max="9" width="25.42578125" style="5" customWidth="1"/>
    <col min="10" max="10" width="20.140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20" width="11.42578125" style="5"/>
    <col min="21" max="23" width="11.42578125" style="15"/>
    <col min="24" max="16384" width="11.42578125" style="5"/>
  </cols>
  <sheetData>
    <row r="1" spans="1:26" s="2" customFormat="1" ht="28.5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217"/>
      <c r="U1" s="218"/>
      <c r="V1" s="218"/>
      <c r="W1" s="218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217"/>
      <c r="U2" s="218"/>
      <c r="V2" s="218"/>
      <c r="W2" s="218"/>
    </row>
    <row r="3" spans="1:26" ht="40.5" customHeight="1" thickBot="1" x14ac:dyDescent="0.3">
      <c r="P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64" t="s">
        <v>508</v>
      </c>
      <c r="I4" s="879"/>
      <c r="J4" s="865"/>
      <c r="K4" s="865"/>
      <c r="L4" s="865"/>
      <c r="M4" s="865"/>
      <c r="N4" s="865"/>
      <c r="O4" s="866"/>
      <c r="P4" s="5"/>
      <c r="S4" s="6"/>
      <c r="U4" s="5"/>
      <c r="V4" s="88" t="s">
        <v>46</v>
      </c>
      <c r="W4" s="89">
        <f>meta3!AB2</f>
        <v>7</v>
      </c>
      <c r="X4" s="6"/>
    </row>
    <row r="5" spans="1:26" ht="38.25" customHeight="1" thickBot="1" x14ac:dyDescent="0.3">
      <c r="G5" s="58"/>
      <c r="H5" s="955"/>
      <c r="I5" s="957"/>
      <c r="J5" s="880"/>
      <c r="K5" s="880"/>
      <c r="L5" s="880"/>
      <c r="M5" s="880"/>
      <c r="N5" s="880"/>
      <c r="O5" s="881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3.5" customHeight="1" thickBot="1" x14ac:dyDescent="0.3">
      <c r="G6" s="59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9.5" thickBot="1" x14ac:dyDescent="0.3">
      <c r="G7" s="606" t="s">
        <v>431</v>
      </c>
      <c r="H7" s="219" t="s">
        <v>429</v>
      </c>
      <c r="I7" s="219" t="s">
        <v>429</v>
      </c>
      <c r="J7" s="11" t="s">
        <v>130</v>
      </c>
      <c r="K7" s="871"/>
      <c r="L7" s="12" t="s">
        <v>11</v>
      </c>
      <c r="M7" s="493" t="s">
        <v>81</v>
      </c>
      <c r="N7" s="14" t="s">
        <v>13</v>
      </c>
      <c r="O7" s="14" t="s">
        <v>506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782" t="s">
        <v>519</v>
      </c>
      <c r="I8" s="782" t="s">
        <v>520</v>
      </c>
      <c r="J8" s="440"/>
      <c r="K8" s="668"/>
      <c r="L8" s="653">
        <f>indicadores!E37</f>
        <v>0.55289999999999995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6.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REMP!F6</f>
        <v>2707</v>
      </c>
      <c r="I9" s="34">
        <f>REMP!P6</f>
        <v>2726</v>
      </c>
      <c r="J9" s="34">
        <f>Poblacion2024!AH6</f>
        <v>5497.8633989999998</v>
      </c>
      <c r="K9" s="35">
        <f>IF(J9=0,0,+I9/J9)</f>
        <v>0.49582897976254359</v>
      </c>
      <c r="L9" s="46">
        <f>$L$8</f>
        <v>0.55289999999999995</v>
      </c>
      <c r="M9" s="46">
        <f>+L9*$M$8</f>
        <v>0.55289999999999995</v>
      </c>
      <c r="N9" s="110">
        <f t="shared" ref="N9:N16" si="0">IF(+K9/M9&gt;1,1,+K9/M9)</f>
        <v>0.8967787660744142</v>
      </c>
      <c r="O9" s="71">
        <f>+N9*$O$8/100</f>
        <v>5.9097720684303898E-2</v>
      </c>
      <c r="P9" s="146">
        <f>L9</f>
        <v>0.55289999999999995</v>
      </c>
      <c r="Q9" s="146">
        <f>(U9/S9)</f>
        <v>0.49582897976254359</v>
      </c>
      <c r="R9" s="147">
        <f>Q9/P9</f>
        <v>0.8967787660744142</v>
      </c>
      <c r="S9" s="97">
        <f>J9</f>
        <v>5497.8633989999998</v>
      </c>
      <c r="T9" s="98">
        <f>S9*P9</f>
        <v>3039.7686733070996</v>
      </c>
      <c r="U9" s="97">
        <f>I9</f>
        <v>2726</v>
      </c>
      <c r="V9" s="98">
        <f>T9/$W$3</f>
        <v>253.31405610892497</v>
      </c>
      <c r="W9" s="98">
        <f>V9*$W$4</f>
        <v>1773.1983927624749</v>
      </c>
      <c r="X9" s="98">
        <f>H9</f>
        <v>2707</v>
      </c>
      <c r="Y9" s="99">
        <f>X9/W9</f>
        <v>1.5266199264836637</v>
      </c>
      <c r="Z9" s="429">
        <f>(W9-X9)*-1</f>
        <v>933.8016072375251</v>
      </c>
    </row>
    <row r="10" spans="1:26" ht="16.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REMP!F7</f>
        <v>1664</v>
      </c>
      <c r="I10" s="39">
        <f>REMP!P7</f>
        <v>1710</v>
      </c>
      <c r="J10" s="39">
        <f>Poblacion2024!AH7</f>
        <v>2923.9560000000001</v>
      </c>
      <c r="K10" s="35">
        <f t="shared" ref="K10:K15" si="1">IF(J10=0,0,+I10/J10)</f>
        <v>0.58482412184041066</v>
      </c>
      <c r="L10" s="42">
        <f t="shared" ref="L10:L16" si="2">$L$8</f>
        <v>0.55289999999999995</v>
      </c>
      <c r="M10" s="42">
        <f t="shared" ref="M10:M16" si="3">+L10*$M$8</f>
        <v>0.55289999999999995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0.55289999999999995</v>
      </c>
      <c r="Q10" s="146">
        <f t="shared" ref="Q10:Q16" si="6">(U10/S10)</f>
        <v>0.58482412184041066</v>
      </c>
      <c r="R10" s="147">
        <f t="shared" ref="R10:R16" si="7">Q10/P10</f>
        <v>1.0577394137102745</v>
      </c>
      <c r="S10" s="97">
        <f t="shared" ref="S10:S16" si="8">J10</f>
        <v>2923.9560000000001</v>
      </c>
      <c r="T10" s="98">
        <f t="shared" ref="T10:T16" si="9">S10*P10</f>
        <v>1616.6552723999998</v>
      </c>
      <c r="U10" s="97">
        <f t="shared" ref="U10:U16" si="10">I10</f>
        <v>1710</v>
      </c>
      <c r="V10" s="98">
        <f t="shared" ref="V10:V16" si="11">T10/$W$3</f>
        <v>134.72127269999999</v>
      </c>
      <c r="W10" s="98">
        <f t="shared" ref="W10:W16" si="12">V10*$W$4</f>
        <v>943.0489088999999</v>
      </c>
      <c r="X10" s="98">
        <f t="shared" ref="X10:X16" si="13">H10</f>
        <v>1664</v>
      </c>
      <c r="Y10" s="99">
        <f t="shared" ref="Y10:Y16" si="14">X10/W10</f>
        <v>1.7644896084349844</v>
      </c>
      <c r="Z10" s="429">
        <f t="shared" ref="Z10:Z16" si="15">(W10-X10)*-1</f>
        <v>720.9510911000001</v>
      </c>
    </row>
    <row r="11" spans="1:26" ht="16.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REMP!F8</f>
        <v>772</v>
      </c>
      <c r="I11" s="39">
        <f>REMP!P8</f>
        <v>861</v>
      </c>
      <c r="J11" s="39">
        <f>Poblacion2024!AH8</f>
        <v>2011.9470000000001</v>
      </c>
      <c r="K11" s="35">
        <f t="shared" si="1"/>
        <v>0.42794367843685743</v>
      </c>
      <c r="L11" s="42">
        <f t="shared" si="2"/>
        <v>0.55289999999999995</v>
      </c>
      <c r="M11" s="42">
        <f t="shared" si="3"/>
        <v>0.55289999999999995</v>
      </c>
      <c r="N11" s="113">
        <f t="shared" si="0"/>
        <v>0.77399833321913092</v>
      </c>
      <c r="O11" s="71">
        <f t="shared" si="4"/>
        <v>5.1006490159140723E-2</v>
      </c>
      <c r="P11" s="146">
        <f t="shared" si="5"/>
        <v>0.55289999999999995</v>
      </c>
      <c r="Q11" s="146">
        <f t="shared" si="6"/>
        <v>0.42794367843685743</v>
      </c>
      <c r="R11" s="147">
        <f t="shared" si="7"/>
        <v>0.77399833321913092</v>
      </c>
      <c r="S11" s="97">
        <f t="shared" si="8"/>
        <v>2011.9470000000001</v>
      </c>
      <c r="T11" s="98">
        <f t="shared" si="9"/>
        <v>1112.4054962999999</v>
      </c>
      <c r="U11" s="97">
        <f t="shared" si="10"/>
        <v>861</v>
      </c>
      <c r="V11" s="98">
        <f t="shared" si="11"/>
        <v>92.700458024999989</v>
      </c>
      <c r="W11" s="98">
        <f t="shared" si="12"/>
        <v>648.90320617499992</v>
      </c>
      <c r="X11" s="98">
        <f t="shared" si="13"/>
        <v>772</v>
      </c>
      <c r="Y11" s="99">
        <f t="shared" si="14"/>
        <v>1.1896997774916258</v>
      </c>
      <c r="Z11" s="429">
        <f t="shared" si="15"/>
        <v>123.09679382500008</v>
      </c>
    </row>
    <row r="12" spans="1:26" ht="16.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REMP!F9</f>
        <v>1351</v>
      </c>
      <c r="I12" s="39">
        <f>REMP!P9</f>
        <v>1337</v>
      </c>
      <c r="J12" s="39">
        <f>Poblacion2024!AH9</f>
        <v>2085.7440336</v>
      </c>
      <c r="K12" s="35">
        <f t="shared" si="1"/>
        <v>0.64101825461887296</v>
      </c>
      <c r="L12" s="42">
        <f t="shared" si="2"/>
        <v>0.55289999999999995</v>
      </c>
      <c r="M12" s="42">
        <f t="shared" si="3"/>
        <v>0.55289999999999995</v>
      </c>
      <c r="N12" s="113">
        <f t="shared" si="0"/>
        <v>1</v>
      </c>
      <c r="O12" s="71">
        <f t="shared" si="4"/>
        <v>6.59E-2</v>
      </c>
      <c r="P12" s="146">
        <f t="shared" si="5"/>
        <v>0.55289999999999995</v>
      </c>
      <c r="Q12" s="146">
        <f t="shared" si="6"/>
        <v>0.64101825461887296</v>
      </c>
      <c r="R12" s="147">
        <f t="shared" si="7"/>
        <v>1.1593746692329048</v>
      </c>
      <c r="S12" s="97">
        <f t="shared" si="8"/>
        <v>2085.7440336</v>
      </c>
      <c r="T12" s="98">
        <f t="shared" si="9"/>
        <v>1153.2078761774399</v>
      </c>
      <c r="U12" s="97">
        <f t="shared" si="10"/>
        <v>1337</v>
      </c>
      <c r="V12" s="98">
        <f t="shared" si="11"/>
        <v>96.100656348119983</v>
      </c>
      <c r="W12" s="98">
        <f t="shared" si="12"/>
        <v>672.7045944368399</v>
      </c>
      <c r="X12" s="98">
        <f t="shared" si="13"/>
        <v>1351</v>
      </c>
      <c r="Y12" s="99">
        <f t="shared" si="14"/>
        <v>2.0083109453578216</v>
      </c>
      <c r="Z12" s="429">
        <f t="shared" si="15"/>
        <v>678.2954055631601</v>
      </c>
    </row>
    <row r="13" spans="1:26" ht="16.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REMP!F10</f>
        <v>1182</v>
      </c>
      <c r="I13" s="39">
        <f>REMP!P10</f>
        <v>1211</v>
      </c>
      <c r="J13" s="39">
        <f>Poblacion2024!AH10</f>
        <v>2040.6179999999999</v>
      </c>
      <c r="K13" s="35">
        <f t="shared" si="1"/>
        <v>0.59344767124469155</v>
      </c>
      <c r="L13" s="42">
        <f t="shared" si="2"/>
        <v>0.55289999999999995</v>
      </c>
      <c r="M13" s="42">
        <f t="shared" si="3"/>
        <v>0.55289999999999995</v>
      </c>
      <c r="N13" s="113">
        <f t="shared" si="0"/>
        <v>1</v>
      </c>
      <c r="O13" s="71">
        <f t="shared" si="4"/>
        <v>6.59E-2</v>
      </c>
      <c r="P13" s="146">
        <f t="shared" si="5"/>
        <v>0.55289999999999995</v>
      </c>
      <c r="Q13" s="146">
        <f t="shared" si="6"/>
        <v>0.59344767124469155</v>
      </c>
      <c r="R13" s="147">
        <f t="shared" si="7"/>
        <v>1.0733363560222311</v>
      </c>
      <c r="S13" s="97">
        <f t="shared" si="8"/>
        <v>2040.6179999999999</v>
      </c>
      <c r="T13" s="98">
        <f t="shared" si="9"/>
        <v>1128.2576921999998</v>
      </c>
      <c r="U13" s="97">
        <f t="shared" si="10"/>
        <v>1211</v>
      </c>
      <c r="V13" s="98">
        <f t="shared" si="11"/>
        <v>94.021474349999991</v>
      </c>
      <c r="W13" s="98">
        <f t="shared" si="12"/>
        <v>658.15032044999998</v>
      </c>
      <c r="X13" s="98">
        <f t="shared" si="13"/>
        <v>1182</v>
      </c>
      <c r="Y13" s="99">
        <f t="shared" si="14"/>
        <v>1.7959422996129912</v>
      </c>
      <c r="Z13" s="429">
        <f t="shared" si="15"/>
        <v>523.84967955000002</v>
      </c>
    </row>
    <row r="14" spans="1:26" ht="16.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REMP!F11</f>
        <v>47</v>
      </c>
      <c r="I14" s="39">
        <f>REMP!P11</f>
        <v>47</v>
      </c>
      <c r="J14" s="39">
        <f>Poblacion2024!AH11</f>
        <v>72.413601</v>
      </c>
      <c r="K14" s="35">
        <f t="shared" si="1"/>
        <v>0.64904934088279909</v>
      </c>
      <c r="L14" s="42">
        <f t="shared" si="2"/>
        <v>0.55289999999999995</v>
      </c>
      <c r="M14" s="42">
        <f t="shared" si="3"/>
        <v>0.55289999999999995</v>
      </c>
      <c r="N14" s="113">
        <f t="shared" si="0"/>
        <v>1</v>
      </c>
      <c r="O14" s="71">
        <f t="shared" si="4"/>
        <v>6.59E-2</v>
      </c>
      <c r="P14" s="146">
        <f t="shared" si="5"/>
        <v>0.55289999999999995</v>
      </c>
      <c r="Q14" s="146">
        <f t="shared" si="6"/>
        <v>0.64904934088279909</v>
      </c>
      <c r="R14" s="147">
        <f t="shared" si="7"/>
        <v>1.1739000558560302</v>
      </c>
      <c r="S14" s="97">
        <f t="shared" si="8"/>
        <v>72.413601</v>
      </c>
      <c r="T14" s="98">
        <f t="shared" si="9"/>
        <v>40.037479992899996</v>
      </c>
      <c r="U14" s="97">
        <f t="shared" si="10"/>
        <v>47</v>
      </c>
      <c r="V14" s="98">
        <f t="shared" si="11"/>
        <v>3.3364566660749997</v>
      </c>
      <c r="W14" s="98">
        <f t="shared" si="12"/>
        <v>23.355196662524996</v>
      </c>
      <c r="X14" s="98">
        <f t="shared" si="13"/>
        <v>47</v>
      </c>
      <c r="Y14" s="99">
        <f t="shared" si="14"/>
        <v>2.0124000957531951</v>
      </c>
      <c r="Z14" s="429">
        <f t="shared" si="15"/>
        <v>23.644803337475004</v>
      </c>
    </row>
    <row r="15" spans="1:26" ht="16.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53">
        <f>REMP!F12</f>
        <v>414</v>
      </c>
      <c r="I15" s="53">
        <f>REMP!P12</f>
        <v>419</v>
      </c>
      <c r="J15" s="53">
        <f>Poblacion2024!AH12</f>
        <v>550.43396640000003</v>
      </c>
      <c r="K15" s="35">
        <f t="shared" si="1"/>
        <v>0.76121755846642825</v>
      </c>
      <c r="L15" s="55">
        <f t="shared" si="2"/>
        <v>0.55289999999999995</v>
      </c>
      <c r="M15" s="55">
        <f t="shared" si="3"/>
        <v>0.55289999999999995</v>
      </c>
      <c r="N15" s="116">
        <f t="shared" si="0"/>
        <v>1</v>
      </c>
      <c r="O15" s="71">
        <f t="shared" si="4"/>
        <v>6.59E-2</v>
      </c>
      <c r="P15" s="146">
        <f t="shared" si="5"/>
        <v>0.55289999999999995</v>
      </c>
      <c r="Q15" s="146">
        <f t="shared" si="6"/>
        <v>0.76121755846642825</v>
      </c>
      <c r="R15" s="147">
        <f t="shared" si="7"/>
        <v>1.376772578163191</v>
      </c>
      <c r="S15" s="97">
        <f t="shared" si="8"/>
        <v>550.43396640000003</v>
      </c>
      <c r="T15" s="98">
        <f t="shared" si="9"/>
        <v>304.33494002255998</v>
      </c>
      <c r="U15" s="97">
        <f t="shared" si="10"/>
        <v>419</v>
      </c>
      <c r="V15" s="98">
        <f t="shared" si="11"/>
        <v>25.361245001879997</v>
      </c>
      <c r="W15" s="98">
        <f t="shared" si="12"/>
        <v>177.52871501315997</v>
      </c>
      <c r="X15" s="98">
        <f t="shared" si="13"/>
        <v>414</v>
      </c>
      <c r="Y15" s="99">
        <f t="shared" si="14"/>
        <v>2.3320171047782932</v>
      </c>
      <c r="Z15" s="429">
        <f t="shared" si="15"/>
        <v>236.47128498684003</v>
      </c>
    </row>
    <row r="16" spans="1:26" ht="16.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612">
        <f>SUM(H9:H15)</f>
        <v>8137</v>
      </c>
      <c r="I16" s="612">
        <f>SUM(I9:I15)</f>
        <v>8311</v>
      </c>
      <c r="J16" s="613">
        <f>SUM(J9:J15)</f>
        <v>15182.976000000001</v>
      </c>
      <c r="K16" s="478">
        <f>IF(J16=0,0,+I16/J16)</f>
        <v>0.54738939190841107</v>
      </c>
      <c r="L16" s="509">
        <f t="shared" si="2"/>
        <v>0.55289999999999995</v>
      </c>
      <c r="M16" s="509">
        <f t="shared" si="3"/>
        <v>0.55289999999999995</v>
      </c>
      <c r="N16" s="510">
        <f t="shared" si="0"/>
        <v>0.99003326443915918</v>
      </c>
      <c r="O16" s="511">
        <f t="shared" si="4"/>
        <v>6.5243192126540589E-2</v>
      </c>
      <c r="P16" s="146">
        <f t="shared" si="5"/>
        <v>0.55289999999999995</v>
      </c>
      <c r="Q16" s="146">
        <f t="shared" si="6"/>
        <v>0.54738939190841107</v>
      </c>
      <c r="R16" s="147">
        <f t="shared" si="7"/>
        <v>0.99003326443915918</v>
      </c>
      <c r="S16" s="97">
        <f t="shared" si="8"/>
        <v>15182.976000000001</v>
      </c>
      <c r="T16" s="98">
        <f t="shared" si="9"/>
        <v>8394.6674303999989</v>
      </c>
      <c r="U16" s="97">
        <f t="shared" si="10"/>
        <v>8311</v>
      </c>
      <c r="V16" s="98">
        <f t="shared" si="11"/>
        <v>699.55561919999991</v>
      </c>
      <c r="W16" s="98">
        <f t="shared" si="12"/>
        <v>4896.8893343999989</v>
      </c>
      <c r="X16" s="98">
        <f t="shared" si="13"/>
        <v>8137</v>
      </c>
      <c r="Y16" s="99">
        <f t="shared" si="14"/>
        <v>1.6616671205613436</v>
      </c>
      <c r="Z16" s="429">
        <f t="shared" si="15"/>
        <v>3240.1106656000011</v>
      </c>
    </row>
    <row r="17" spans="12:23" x14ac:dyDescent="0.25">
      <c r="L17" s="57"/>
      <c r="P17" s="122"/>
      <c r="Q17" s="122"/>
    </row>
    <row r="18" spans="12:23" x14ac:dyDescent="0.25">
      <c r="U18" s="5"/>
      <c r="V18" s="5"/>
      <c r="W18" s="5"/>
    </row>
    <row r="19" spans="12:23" x14ac:dyDescent="0.25">
      <c r="U19" s="5"/>
      <c r="V19" s="5"/>
      <c r="W19" s="5"/>
    </row>
    <row r="20" spans="12:23" x14ac:dyDescent="0.25">
      <c r="U20" s="5"/>
      <c r="V20" s="5"/>
      <c r="W20" s="5"/>
    </row>
    <row r="21" spans="12:23" x14ac:dyDescent="0.25">
      <c r="U21" s="5"/>
      <c r="V21" s="5"/>
      <c r="W21" s="5"/>
    </row>
    <row r="22" spans="12:23" x14ac:dyDescent="0.25">
      <c r="U22" s="5"/>
      <c r="V22" s="5"/>
      <c r="W22" s="5"/>
    </row>
    <row r="23" spans="12:23" x14ac:dyDescent="0.25">
      <c r="U23" s="5"/>
      <c r="V23" s="5"/>
      <c r="W23" s="5"/>
    </row>
    <row r="24" spans="12:23" x14ac:dyDescent="0.25">
      <c r="U24" s="5"/>
      <c r="V24" s="5"/>
      <c r="W24" s="5"/>
    </row>
    <row r="25" spans="12:23" x14ac:dyDescent="0.25">
      <c r="U25" s="5"/>
      <c r="V25" s="5"/>
      <c r="W25" s="5"/>
    </row>
    <row r="26" spans="12:23" x14ac:dyDescent="0.25">
      <c r="U26" s="5"/>
      <c r="V26" s="5"/>
      <c r="W26" s="5"/>
    </row>
    <row r="27" spans="12:23" x14ac:dyDescent="0.25">
      <c r="U27" s="5"/>
      <c r="V27" s="5"/>
      <c r="W27" s="5"/>
    </row>
    <row r="28" spans="12:23" x14ac:dyDescent="0.25">
      <c r="U28" s="5"/>
      <c r="V28" s="5"/>
      <c r="W28" s="5"/>
    </row>
    <row r="29" spans="12:23" x14ac:dyDescent="0.25">
      <c r="U29" s="5"/>
      <c r="V29" s="5"/>
      <c r="W29" s="5"/>
    </row>
    <row r="30" spans="12:23" x14ac:dyDescent="0.25">
      <c r="U30" s="5"/>
      <c r="V30" s="5"/>
      <c r="W30" s="5"/>
    </row>
    <row r="31" spans="12:23" x14ac:dyDescent="0.25">
      <c r="U31" s="5"/>
      <c r="V31" s="5"/>
      <c r="W31" s="5"/>
    </row>
    <row r="32" spans="12:23" x14ac:dyDescent="0.25">
      <c r="U32" s="5"/>
      <c r="V32" s="5"/>
      <c r="W32" s="5"/>
    </row>
    <row r="33" spans="21:23" x14ac:dyDescent="0.25">
      <c r="U33" s="5"/>
      <c r="V33" s="5"/>
      <c r="W33" s="5"/>
    </row>
    <row r="34" spans="21:23" x14ac:dyDescent="0.25">
      <c r="U34" s="5"/>
      <c r="V34" s="5"/>
      <c r="W34" s="5"/>
    </row>
    <row r="35" spans="21:23" x14ac:dyDescent="0.25">
      <c r="U35" s="5"/>
      <c r="V35" s="5"/>
      <c r="W35" s="5"/>
    </row>
    <row r="36" spans="21:23" x14ac:dyDescent="0.25">
      <c r="U36" s="5"/>
      <c r="V36" s="5"/>
      <c r="W36" s="5"/>
    </row>
    <row r="37" spans="21:23" x14ac:dyDescent="0.25">
      <c r="U37" s="5"/>
      <c r="V37" s="5"/>
      <c r="W37" s="5"/>
    </row>
    <row r="38" spans="21:23" x14ac:dyDescent="0.25">
      <c r="U38" s="5"/>
      <c r="V38" s="5"/>
      <c r="W38" s="5"/>
    </row>
    <row r="39" spans="21:23" x14ac:dyDescent="0.25">
      <c r="U39" s="5"/>
      <c r="V39" s="5"/>
      <c r="W39" s="5"/>
    </row>
    <row r="40" spans="21:23" x14ac:dyDescent="0.25">
      <c r="U40" s="5"/>
      <c r="V40" s="5"/>
      <c r="W40" s="5"/>
    </row>
    <row r="41" spans="21:23" x14ac:dyDescent="0.25">
      <c r="U41" s="5"/>
      <c r="V41" s="5"/>
      <c r="W41" s="5"/>
    </row>
    <row r="42" spans="21:23" x14ac:dyDescent="0.25">
      <c r="U42" s="5"/>
      <c r="V42" s="5"/>
      <c r="W42" s="5"/>
    </row>
    <row r="43" spans="21:23" x14ac:dyDescent="0.25">
      <c r="U43" s="5"/>
      <c r="V43" s="5"/>
      <c r="W43" s="5"/>
    </row>
    <row r="44" spans="21:23" x14ac:dyDescent="0.25">
      <c r="U44" s="5"/>
      <c r="V44" s="5"/>
      <c r="W44" s="5"/>
    </row>
    <row r="45" spans="21:23" x14ac:dyDescent="0.25">
      <c r="U45" s="5"/>
      <c r="V45" s="5"/>
      <c r="W45" s="5"/>
    </row>
    <row r="46" spans="21:23" x14ac:dyDescent="0.25">
      <c r="U46" s="5"/>
      <c r="V46" s="5"/>
      <c r="W46" s="5"/>
    </row>
  </sheetData>
  <autoFilter ref="G4:G16" xr:uid="{00000000-0001-0000-11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Z52"/>
  <sheetViews>
    <sheetView zoomScale="85" zoomScaleNormal="85" workbookViewId="0">
      <selection activeCell="I11" sqref="I1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16384" width="11.42578125" style="5"/>
  </cols>
  <sheetData>
    <row r="1" spans="1:26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56"/>
    </row>
    <row r="3" spans="1:26" ht="60.75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15" customHeight="1" x14ac:dyDescent="0.25">
      <c r="G4" s="59"/>
      <c r="H4" s="864" t="s">
        <v>509</v>
      </c>
      <c r="I4" s="879"/>
      <c r="J4" s="865"/>
      <c r="K4" s="865"/>
      <c r="L4" s="865"/>
      <c r="M4" s="865"/>
      <c r="N4" s="865"/>
      <c r="O4" s="866"/>
      <c r="P4" s="5"/>
      <c r="S4" s="6"/>
      <c r="V4" s="88" t="s">
        <v>46</v>
      </c>
      <c r="W4" s="89">
        <f>meta3!AB2</f>
        <v>7</v>
      </c>
      <c r="X4" s="6"/>
    </row>
    <row r="5" spans="1:26" ht="62.25" customHeight="1" thickBot="1" x14ac:dyDescent="0.3">
      <c r="G5" s="538"/>
      <c r="H5" s="867"/>
      <c r="I5" s="868"/>
      <c r="J5" s="868"/>
      <c r="K5" s="868"/>
      <c r="L5" s="868"/>
      <c r="M5" s="868"/>
      <c r="N5" s="868"/>
      <c r="O5" s="869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5.75" customHeight="1" thickBot="1" x14ac:dyDescent="0.3">
      <c r="G6" s="538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94.5" customHeight="1" thickBot="1" x14ac:dyDescent="0.3">
      <c r="G7" s="606" t="s">
        <v>431</v>
      </c>
      <c r="H7" s="220" t="s">
        <v>131</v>
      </c>
      <c r="I7" s="220" t="s">
        <v>131</v>
      </c>
      <c r="J7" s="11" t="s">
        <v>132</v>
      </c>
      <c r="K7" s="871"/>
      <c r="L7" s="12" t="s">
        <v>11</v>
      </c>
      <c r="M7" s="12" t="s">
        <v>12</v>
      </c>
      <c r="N7" s="14" t="s">
        <v>13</v>
      </c>
      <c r="O7" s="14" t="s">
        <v>506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672" t="s">
        <v>519</v>
      </c>
      <c r="I8" s="672" t="s">
        <v>520</v>
      </c>
      <c r="J8" s="440"/>
      <c r="K8" s="668"/>
      <c r="L8" s="493">
        <f>indicadores!E38</f>
        <v>0.5423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REMP!E6</f>
        <v>5784</v>
      </c>
      <c r="I9" s="69">
        <f>REMP!O6</f>
        <v>5783</v>
      </c>
      <c r="J9" s="69">
        <f>Poblacion2024!AN6</f>
        <v>12679.901157</v>
      </c>
      <c r="K9" s="35">
        <f>+I9/J9</f>
        <v>0.45607611040465146</v>
      </c>
      <c r="L9" s="37">
        <f>$L$8</f>
        <v>0.5423</v>
      </c>
      <c r="M9" s="37">
        <f>+L9*$M$8</f>
        <v>0.5423</v>
      </c>
      <c r="N9" s="110">
        <f t="shared" ref="N9:N16" si="0">IF(+K9/M9&gt;1,1,+K9/M9)</f>
        <v>0.84100333838217123</v>
      </c>
      <c r="O9" s="71">
        <f>+N9*$O$8/100</f>
        <v>5.542211999938508E-2</v>
      </c>
      <c r="P9" s="146">
        <f>L9</f>
        <v>0.5423</v>
      </c>
      <c r="Q9" s="146">
        <f>(U9/S9)</f>
        <v>0.45607611040465146</v>
      </c>
      <c r="R9" s="147">
        <f>Q9/P9</f>
        <v>0.84100333838217123</v>
      </c>
      <c r="S9" s="97">
        <f>J9</f>
        <v>12679.901157</v>
      </c>
      <c r="T9" s="98">
        <f>S9*P9</f>
        <v>6876.3103974411006</v>
      </c>
      <c r="U9" s="97">
        <f>I9</f>
        <v>5783</v>
      </c>
      <c r="V9" s="98">
        <f>T9/$W$3</f>
        <v>573.02586645342501</v>
      </c>
      <c r="W9" s="98">
        <f>V9*$W$4</f>
        <v>4011.1810651739752</v>
      </c>
      <c r="X9" s="98">
        <f>H9</f>
        <v>5784</v>
      </c>
      <c r="Y9" s="99">
        <f>X9/W9</f>
        <v>1.4419693117865107</v>
      </c>
      <c r="Z9" s="429">
        <f>(W9-X9)*-1</f>
        <v>1772.8189348260248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REMP!E7</f>
        <v>3504</v>
      </c>
      <c r="I10" s="74">
        <f>REMP!O7</f>
        <v>3546</v>
      </c>
      <c r="J10" s="74">
        <f>Poblacion2024!AN7</f>
        <v>6659.8810000000003</v>
      </c>
      <c r="K10" s="35">
        <f t="shared" ref="K10:K15" si="1">+I10/J10</f>
        <v>0.53244194603477146</v>
      </c>
      <c r="L10" s="42">
        <f t="shared" ref="L10:L16" si="2">$L$8</f>
        <v>0.5423</v>
      </c>
      <c r="M10" s="42">
        <f t="shared" ref="M10:M16" si="3">+L10*$M$8</f>
        <v>0.5423</v>
      </c>
      <c r="N10" s="113">
        <f t="shared" si="0"/>
        <v>0.98182177030199425</v>
      </c>
      <c r="O10" s="71">
        <f t="shared" ref="O10:O16" si="4">+N10*$O$8/100</f>
        <v>6.4702054662901409E-2</v>
      </c>
      <c r="P10" s="146">
        <f t="shared" ref="P10:P16" si="5">L10</f>
        <v>0.5423</v>
      </c>
      <c r="Q10" s="146">
        <f t="shared" ref="Q10:Q16" si="6">(U10/S10)</f>
        <v>0.53244194603477146</v>
      </c>
      <c r="R10" s="147">
        <f t="shared" ref="R10:R16" si="7">Q10/P10</f>
        <v>0.98182177030199425</v>
      </c>
      <c r="S10" s="97">
        <f t="shared" ref="S10:S16" si="8">J10</f>
        <v>6659.8810000000003</v>
      </c>
      <c r="T10" s="98">
        <f t="shared" ref="T10:T16" si="9">S10*P10</f>
        <v>3611.6534663000002</v>
      </c>
      <c r="U10" s="97">
        <f t="shared" ref="U10:U15" si="10">I10</f>
        <v>3546</v>
      </c>
      <c r="V10" s="98">
        <f t="shared" ref="V10:V16" si="11">T10/$W$3</f>
        <v>300.97112219166667</v>
      </c>
      <c r="W10" s="98">
        <f t="shared" ref="W10:W16" si="12">V10*$W$4</f>
        <v>2106.7978553416665</v>
      </c>
      <c r="X10" s="98">
        <f t="shared" ref="X10:X16" si="13">H10</f>
        <v>3504</v>
      </c>
      <c r="Y10" s="99">
        <f t="shared" ref="Y10:Y16" si="14">X10/W10</f>
        <v>1.6631875673861196</v>
      </c>
      <c r="Z10" s="429">
        <f t="shared" ref="Z10:Z16" si="15">(W10-X10)*-1</f>
        <v>1397.2021446583335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REMP!E8</f>
        <v>1891</v>
      </c>
      <c r="I11" s="74">
        <f>REMP!O8</f>
        <v>1967</v>
      </c>
      <c r="J11" s="74">
        <f>Poblacion2024!AN8</f>
        <v>4539.5740000000005</v>
      </c>
      <c r="K11" s="35">
        <f t="shared" si="1"/>
        <v>0.43330056961291957</v>
      </c>
      <c r="L11" s="42">
        <f t="shared" si="2"/>
        <v>0.5423</v>
      </c>
      <c r="M11" s="42">
        <f t="shared" si="3"/>
        <v>0.5423</v>
      </c>
      <c r="N11" s="113">
        <f t="shared" si="0"/>
        <v>0.79900529155987376</v>
      </c>
      <c r="O11" s="71">
        <f t="shared" si="4"/>
        <v>5.2654448713795682E-2</v>
      </c>
      <c r="P11" s="146">
        <f t="shared" si="5"/>
        <v>0.5423</v>
      </c>
      <c r="Q11" s="146">
        <f t="shared" si="6"/>
        <v>0.43330056961291957</v>
      </c>
      <c r="R11" s="147">
        <f t="shared" si="7"/>
        <v>0.79900529155987376</v>
      </c>
      <c r="S11" s="97">
        <f t="shared" si="8"/>
        <v>4539.5740000000005</v>
      </c>
      <c r="T11" s="98">
        <f t="shared" si="9"/>
        <v>2461.8109802000004</v>
      </c>
      <c r="U11" s="97">
        <f t="shared" si="10"/>
        <v>1967</v>
      </c>
      <c r="V11" s="98">
        <f t="shared" si="11"/>
        <v>205.15091501666669</v>
      </c>
      <c r="W11" s="98">
        <f t="shared" si="12"/>
        <v>1436.0564051166668</v>
      </c>
      <c r="X11" s="98">
        <f t="shared" si="13"/>
        <v>1891</v>
      </c>
      <c r="Y11" s="99">
        <f t="shared" si="14"/>
        <v>1.3168006446420697</v>
      </c>
      <c r="Z11" s="429">
        <f t="shared" si="15"/>
        <v>454.94359488333316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REMP!E9</f>
        <v>2883</v>
      </c>
      <c r="I12" s="74">
        <f>REMP!O9</f>
        <v>2825</v>
      </c>
      <c r="J12" s="74">
        <f>Poblacion2024!AN9</f>
        <v>4706.6478352000004</v>
      </c>
      <c r="K12" s="35">
        <f t="shared" si="1"/>
        <v>0.60021486606081642</v>
      </c>
      <c r="L12" s="42">
        <f t="shared" si="2"/>
        <v>0.5423</v>
      </c>
      <c r="M12" s="42">
        <f t="shared" si="3"/>
        <v>0.5423</v>
      </c>
      <c r="N12" s="113">
        <f t="shared" si="0"/>
        <v>1</v>
      </c>
      <c r="O12" s="71">
        <f t="shared" si="4"/>
        <v>6.59E-2</v>
      </c>
      <c r="P12" s="146">
        <f t="shared" si="5"/>
        <v>0.5423</v>
      </c>
      <c r="Q12" s="146">
        <f t="shared" si="6"/>
        <v>0.60021486606081642</v>
      </c>
      <c r="R12" s="147">
        <f t="shared" si="7"/>
        <v>1.1067948848622837</v>
      </c>
      <c r="S12" s="97">
        <f t="shared" si="8"/>
        <v>4706.6478352000004</v>
      </c>
      <c r="T12" s="98">
        <f t="shared" si="9"/>
        <v>2552.4151210289601</v>
      </c>
      <c r="U12" s="97">
        <f t="shared" si="10"/>
        <v>2825</v>
      </c>
      <c r="V12" s="98">
        <f t="shared" si="11"/>
        <v>212.70126008574667</v>
      </c>
      <c r="W12" s="98">
        <f t="shared" si="12"/>
        <v>1488.9088206002266</v>
      </c>
      <c r="X12" s="98">
        <f t="shared" si="13"/>
        <v>2883</v>
      </c>
      <c r="Y12" s="99">
        <f t="shared" si="14"/>
        <v>1.9363173621590681</v>
      </c>
      <c r="Z12" s="429">
        <f t="shared" si="15"/>
        <v>1394.0911793997734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REMP!E10</f>
        <v>2779</v>
      </c>
      <c r="I13" s="74">
        <f>REMP!O10</f>
        <v>2846</v>
      </c>
      <c r="J13" s="74">
        <f>Poblacion2024!AN10</f>
        <v>4594.9390000000003</v>
      </c>
      <c r="K13" s="35">
        <f t="shared" si="1"/>
        <v>0.61937710163290516</v>
      </c>
      <c r="L13" s="42">
        <f t="shared" si="2"/>
        <v>0.5423</v>
      </c>
      <c r="M13" s="42">
        <f t="shared" si="3"/>
        <v>0.5423</v>
      </c>
      <c r="N13" s="113">
        <f t="shared" si="0"/>
        <v>1</v>
      </c>
      <c r="O13" s="71">
        <f t="shared" si="4"/>
        <v>6.59E-2</v>
      </c>
      <c r="P13" s="146">
        <f t="shared" si="5"/>
        <v>0.5423</v>
      </c>
      <c r="Q13" s="146">
        <f t="shared" si="6"/>
        <v>0.61937710163290516</v>
      </c>
      <c r="R13" s="147">
        <f t="shared" si="7"/>
        <v>1.1421300048550713</v>
      </c>
      <c r="S13" s="97">
        <f t="shared" si="8"/>
        <v>4594.9390000000003</v>
      </c>
      <c r="T13" s="98">
        <f t="shared" si="9"/>
        <v>2491.8354197000003</v>
      </c>
      <c r="U13" s="97">
        <f t="shared" si="10"/>
        <v>2846</v>
      </c>
      <c r="V13" s="98">
        <f t="shared" si="11"/>
        <v>207.6529516416667</v>
      </c>
      <c r="W13" s="98">
        <f t="shared" si="12"/>
        <v>1453.5706614916669</v>
      </c>
      <c r="X13" s="98">
        <f t="shared" si="13"/>
        <v>2779</v>
      </c>
      <c r="Y13" s="99">
        <f t="shared" si="14"/>
        <v>1.9118437607623189</v>
      </c>
      <c r="Z13" s="429">
        <f t="shared" si="15"/>
        <v>1325.4293385083331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REMP!E11</f>
        <v>136</v>
      </c>
      <c r="I14" s="74">
        <f>REMP!O11</f>
        <v>135</v>
      </c>
      <c r="J14" s="74">
        <f>Poblacion2024!AN11</f>
        <v>167.00984299999999</v>
      </c>
      <c r="K14" s="35">
        <f t="shared" si="1"/>
        <v>0.80833559013644485</v>
      </c>
      <c r="L14" s="42">
        <f t="shared" si="2"/>
        <v>0.5423</v>
      </c>
      <c r="M14" s="42">
        <f t="shared" si="3"/>
        <v>0.5423</v>
      </c>
      <c r="N14" s="113">
        <f t="shared" si="0"/>
        <v>1</v>
      </c>
      <c r="O14" s="71">
        <f t="shared" si="4"/>
        <v>6.59E-2</v>
      </c>
      <c r="P14" s="146">
        <f t="shared" si="5"/>
        <v>0.5423</v>
      </c>
      <c r="Q14" s="146">
        <f t="shared" si="6"/>
        <v>0.80833559013644485</v>
      </c>
      <c r="R14" s="147">
        <f t="shared" si="7"/>
        <v>1.4905690395287567</v>
      </c>
      <c r="S14" s="97">
        <f t="shared" si="8"/>
        <v>167.00984299999999</v>
      </c>
      <c r="T14" s="98">
        <f t="shared" si="9"/>
        <v>90.569437858899988</v>
      </c>
      <c r="U14" s="97">
        <f t="shared" si="10"/>
        <v>135</v>
      </c>
      <c r="V14" s="98">
        <f t="shared" si="11"/>
        <v>7.5474531549083324</v>
      </c>
      <c r="W14" s="98">
        <f t="shared" si="12"/>
        <v>52.832172084358326</v>
      </c>
      <c r="X14" s="98">
        <f t="shared" si="13"/>
        <v>136</v>
      </c>
      <c r="Y14" s="99">
        <f t="shared" si="14"/>
        <v>2.5741890714401392</v>
      </c>
      <c r="Z14" s="429">
        <f t="shared" si="15"/>
        <v>83.167827915641681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115">
        <f>REMP!E12</f>
        <v>830</v>
      </c>
      <c r="I15" s="115">
        <f>REMP!O12</f>
        <v>893</v>
      </c>
      <c r="J15" s="115">
        <f>Poblacion2024!AN12</f>
        <v>1242.0981648000002</v>
      </c>
      <c r="K15" s="35">
        <f t="shared" si="1"/>
        <v>0.71894478657714533</v>
      </c>
      <c r="L15" s="55">
        <f t="shared" si="2"/>
        <v>0.5423</v>
      </c>
      <c r="M15" s="55">
        <f t="shared" si="3"/>
        <v>0.5423</v>
      </c>
      <c r="N15" s="116">
        <f t="shared" si="0"/>
        <v>1</v>
      </c>
      <c r="O15" s="71">
        <f t="shared" si="4"/>
        <v>6.59E-2</v>
      </c>
      <c r="P15" s="146">
        <f t="shared" si="5"/>
        <v>0.5423</v>
      </c>
      <c r="Q15" s="146">
        <f t="shared" si="6"/>
        <v>0.71894478657714533</v>
      </c>
      <c r="R15" s="147">
        <f t="shared" si="7"/>
        <v>1.3257325955691412</v>
      </c>
      <c r="S15" s="97">
        <f t="shared" si="8"/>
        <v>1242.0981648000002</v>
      </c>
      <c r="T15" s="98">
        <f t="shared" si="9"/>
        <v>673.58983477104005</v>
      </c>
      <c r="U15" s="97">
        <f t="shared" si="10"/>
        <v>893</v>
      </c>
      <c r="V15" s="98">
        <f t="shared" si="11"/>
        <v>56.132486230920001</v>
      </c>
      <c r="W15" s="98">
        <f t="shared" si="12"/>
        <v>392.92740361644002</v>
      </c>
      <c r="X15" s="98">
        <f t="shared" si="13"/>
        <v>830</v>
      </c>
      <c r="Y15" s="99">
        <f t="shared" si="14"/>
        <v>2.1123494883808429</v>
      </c>
      <c r="Z15" s="429">
        <f t="shared" si="15"/>
        <v>437.07259638355998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37" t="s">
        <v>15</v>
      </c>
      <c r="H16" s="539">
        <f>SUM(H9:H15)</f>
        <v>17807</v>
      </c>
      <c r="I16" s="539">
        <f>SUM(I9:I15)</f>
        <v>17995</v>
      </c>
      <c r="J16" s="539">
        <f>Poblacion2024!AN13</f>
        <v>34590.051000000007</v>
      </c>
      <c r="K16" s="478">
        <f>+I16/J16</f>
        <v>0.52023629569091978</v>
      </c>
      <c r="L16" s="509">
        <f t="shared" si="2"/>
        <v>0.5423</v>
      </c>
      <c r="M16" s="509">
        <f t="shared" si="3"/>
        <v>0.5423</v>
      </c>
      <c r="N16" s="510">
        <f t="shared" si="0"/>
        <v>0.9593145780765624</v>
      </c>
      <c r="O16" s="511">
        <f t="shared" si="4"/>
        <v>6.3218830695245462E-2</v>
      </c>
      <c r="P16" s="146">
        <f t="shared" si="5"/>
        <v>0.5423</v>
      </c>
      <c r="Q16" s="146">
        <f t="shared" si="6"/>
        <v>0.52023629569091978</v>
      </c>
      <c r="R16" s="147">
        <f t="shared" si="7"/>
        <v>0.9593145780765624</v>
      </c>
      <c r="S16" s="97">
        <f t="shared" si="8"/>
        <v>34590.051000000007</v>
      </c>
      <c r="T16" s="98">
        <f t="shared" si="9"/>
        <v>18758.184657300004</v>
      </c>
      <c r="U16" s="97">
        <f>I16</f>
        <v>17995</v>
      </c>
      <c r="V16" s="98">
        <f t="shared" si="11"/>
        <v>1563.1820547750003</v>
      </c>
      <c r="W16" s="98">
        <f t="shared" si="12"/>
        <v>10942.274383425003</v>
      </c>
      <c r="X16" s="98">
        <f t="shared" si="13"/>
        <v>17807</v>
      </c>
      <c r="Y16" s="99">
        <f t="shared" si="14"/>
        <v>1.6273582050705526</v>
      </c>
      <c r="Z16" s="429">
        <f t="shared" si="15"/>
        <v>6864.7256165749968</v>
      </c>
    </row>
    <row r="17" spans="8:17" x14ac:dyDescent="0.25">
      <c r="H17" s="64"/>
      <c r="I17" s="64"/>
      <c r="J17" s="64"/>
      <c r="L17" s="57"/>
      <c r="P17" s="122"/>
      <c r="Q17" s="122"/>
    </row>
    <row r="36" spans="7:10" x14ac:dyDescent="0.25">
      <c r="G36" s="5" t="s">
        <v>21</v>
      </c>
      <c r="H36" s="15">
        <f>+H11</f>
        <v>1891</v>
      </c>
      <c r="I36" s="15"/>
      <c r="J36" s="15">
        <f>+J11</f>
        <v>4539.5740000000005</v>
      </c>
    </row>
    <row r="37" spans="7:10" x14ac:dyDescent="0.25">
      <c r="G37" s="5" t="s">
        <v>22</v>
      </c>
      <c r="H37" s="15" t="e">
        <f>+#REF!</f>
        <v>#REF!</v>
      </c>
      <c r="I37" s="15"/>
      <c r="J37" s="15" t="e">
        <f>+#REF!</f>
        <v>#REF!</v>
      </c>
    </row>
    <row r="38" spans="7:10" x14ac:dyDescent="0.25">
      <c r="G38" s="5" t="s">
        <v>23</v>
      </c>
      <c r="H38" s="15" t="e">
        <f>+#REF!</f>
        <v>#REF!</v>
      </c>
      <c r="I38" s="15"/>
      <c r="J38" s="15" t="e">
        <f>+#REF!</f>
        <v>#REF!</v>
      </c>
    </row>
    <row r="39" spans="7:10" x14ac:dyDescent="0.25">
      <c r="G39" s="5" t="s">
        <v>24</v>
      </c>
      <c r="H39" s="15" t="e">
        <f>+#REF!</f>
        <v>#REF!</v>
      </c>
      <c r="I39" s="15"/>
      <c r="J39" s="15" t="e">
        <f>+#REF!</f>
        <v>#REF!</v>
      </c>
    </row>
    <row r="40" spans="7:10" x14ac:dyDescent="0.25">
      <c r="G40" s="5" t="s">
        <v>25</v>
      </c>
      <c r="H40" s="15">
        <f>+H14</f>
        <v>136</v>
      </c>
      <c r="I40" s="15"/>
      <c r="J40" s="15">
        <f>+J14</f>
        <v>167.00984299999999</v>
      </c>
    </row>
    <row r="41" spans="7:10" x14ac:dyDescent="0.25">
      <c r="G41" s="5" t="s">
        <v>26</v>
      </c>
      <c r="H41" s="15">
        <f>+H9</f>
        <v>5784</v>
      </c>
      <c r="I41" s="15"/>
      <c r="J41" s="15">
        <f>+J9</f>
        <v>12679.901157</v>
      </c>
    </row>
    <row r="42" spans="7:10" x14ac:dyDescent="0.25">
      <c r="G42" s="5" t="s">
        <v>27</v>
      </c>
      <c r="H42" s="15" t="e">
        <f>+#REF!</f>
        <v>#REF!</v>
      </c>
      <c r="I42" s="15"/>
      <c r="J42" s="15" t="e">
        <f>+#REF!</f>
        <v>#REF!</v>
      </c>
    </row>
    <row r="43" spans="7:10" x14ac:dyDescent="0.25">
      <c r="G43" s="5" t="s">
        <v>28</v>
      </c>
      <c r="H43" s="15" t="e">
        <f>+#REF!</f>
        <v>#REF!</v>
      </c>
      <c r="I43" s="15"/>
      <c r="J43" s="15" t="e">
        <f>+#REF!</f>
        <v>#REF!</v>
      </c>
    </row>
    <row r="44" spans="7:10" x14ac:dyDescent="0.25">
      <c r="G44" s="5" t="s">
        <v>29</v>
      </c>
      <c r="H44" s="15" t="e">
        <f>+#REF!</f>
        <v>#REF!</v>
      </c>
      <c r="I44" s="15"/>
      <c r="J44" s="15" t="e">
        <f>+#REF!</f>
        <v>#REF!</v>
      </c>
    </row>
    <row r="45" spans="7:10" x14ac:dyDescent="0.25">
      <c r="G45" s="5" t="s">
        <v>30</v>
      </c>
      <c r="H45" s="15" t="e">
        <f>+#REF!</f>
        <v>#REF!</v>
      </c>
      <c r="I45" s="15"/>
      <c r="J45" s="15" t="e">
        <f>+#REF!</f>
        <v>#REF!</v>
      </c>
    </row>
    <row r="46" spans="7:10" x14ac:dyDescent="0.25">
      <c r="G46" s="5" t="s">
        <v>31</v>
      </c>
      <c r="H46" s="15">
        <f>+H10</f>
        <v>3504</v>
      </c>
      <c r="I46" s="15"/>
      <c r="J46" s="15">
        <f>+J10</f>
        <v>6659.8810000000003</v>
      </c>
    </row>
    <row r="47" spans="7:10" x14ac:dyDescent="0.25">
      <c r="G47" s="5" t="s">
        <v>32</v>
      </c>
      <c r="H47" s="15">
        <f>+H12</f>
        <v>2883</v>
      </c>
      <c r="I47" s="15"/>
      <c r="J47" s="15">
        <f>+J12</f>
        <v>4706.6478352000004</v>
      </c>
    </row>
    <row r="48" spans="7:10" x14ac:dyDescent="0.25">
      <c r="G48" s="5" t="s">
        <v>33</v>
      </c>
      <c r="H48" s="15">
        <f>+H13</f>
        <v>2779</v>
      </c>
      <c r="I48" s="15"/>
      <c r="J48" s="15">
        <f>+J13</f>
        <v>4594.9390000000003</v>
      </c>
    </row>
    <row r="49" spans="7:10" x14ac:dyDescent="0.25">
      <c r="G49" s="5" t="s">
        <v>34</v>
      </c>
      <c r="H49" s="15" t="e">
        <f>+#REF!</f>
        <v>#REF!</v>
      </c>
      <c r="I49" s="15"/>
      <c r="J49" s="15" t="e">
        <f>+#REF!</f>
        <v>#REF!</v>
      </c>
    </row>
    <row r="50" spans="7:10" x14ac:dyDescent="0.25">
      <c r="G50" s="5" t="s">
        <v>35</v>
      </c>
      <c r="H50" s="15">
        <f>+H16</f>
        <v>17807</v>
      </c>
      <c r="I50" s="15"/>
      <c r="J50" s="15">
        <f>+J16</f>
        <v>34590.051000000007</v>
      </c>
    </row>
    <row r="51" spans="7:10" x14ac:dyDescent="0.25">
      <c r="G51" s="5" t="s">
        <v>36</v>
      </c>
      <c r="H51" s="15" t="e">
        <f>+#REF!</f>
        <v>#REF!</v>
      </c>
      <c r="I51" s="15"/>
      <c r="J51" s="15" t="e">
        <f>+#REF!</f>
        <v>#REF!</v>
      </c>
    </row>
    <row r="52" spans="7:10" x14ac:dyDescent="0.25">
      <c r="G52" s="5" t="s">
        <v>37</v>
      </c>
      <c r="H52" s="15" t="e">
        <f>+#REF!</f>
        <v>#REF!</v>
      </c>
      <c r="I52" s="15"/>
      <c r="J52" s="15" t="e">
        <f>+#REF!</f>
        <v>#REF!</v>
      </c>
    </row>
  </sheetData>
  <autoFilter ref="G4:G16" xr:uid="{00000000-0001-0000-12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510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7</v>
      </c>
      <c r="AJ5" s="6"/>
      <c r="AL5" s="5"/>
    </row>
    <row r="6" spans="1:39" ht="43.5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61" t="s">
        <v>5</v>
      </c>
      <c r="W6" s="870" t="s">
        <v>6</v>
      </c>
      <c r="X6" s="872">
        <f>+NOMBRE!$B$9</f>
        <v>2024</v>
      </c>
      <c r="Y6" s="894"/>
      <c r="Z6" s="958" t="s">
        <v>7</v>
      </c>
      <c r="AA6" s="875"/>
      <c r="AB6" s="90" t="s">
        <v>47</v>
      </c>
      <c r="AC6" s="90" t="s">
        <v>48</v>
      </c>
      <c r="AD6" s="57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573" t="s">
        <v>55</v>
      </c>
      <c r="AL6" s="90" t="s">
        <v>56</v>
      </c>
    </row>
    <row r="7" spans="1:39" ht="69" customHeight="1" thickBot="1" x14ac:dyDescent="0.3">
      <c r="G7" s="606" t="s">
        <v>431</v>
      </c>
      <c r="H7" s="876" t="s">
        <v>133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134</v>
      </c>
      <c r="W7" s="871"/>
      <c r="X7" s="12" t="s">
        <v>11</v>
      </c>
      <c r="Y7" s="12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494" t="s">
        <v>59</v>
      </c>
      <c r="AE7" s="498" t="s">
        <v>60</v>
      </c>
      <c r="AF7" s="498" t="s">
        <v>61</v>
      </c>
      <c r="AG7" s="498" t="s">
        <v>62</v>
      </c>
      <c r="AH7" s="498" t="s">
        <v>63</v>
      </c>
      <c r="AI7" s="498" t="s">
        <v>64</v>
      </c>
      <c r="AJ7" s="498" t="s">
        <v>65</v>
      </c>
      <c r="AK7" s="496" t="s">
        <v>66</v>
      </c>
      <c r="AL7" s="93" t="s">
        <v>67</v>
      </c>
    </row>
    <row r="8" spans="1:39" ht="17.25" customHeight="1" thickBot="1" x14ac:dyDescent="0.3">
      <c r="G8" s="438"/>
      <c r="H8" s="445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452" t="s">
        <v>201</v>
      </c>
      <c r="V8" s="11"/>
      <c r="W8" s="482"/>
      <c r="X8" s="483">
        <f>indicadores!E43</f>
        <v>0.95</v>
      </c>
      <c r="Y8" s="483">
        <f>indicadores!$D$54</f>
        <v>0.5</v>
      </c>
      <c r="Z8" s="474"/>
      <c r="AA8" s="474">
        <v>5.49</v>
      </c>
      <c r="AB8" s="94" t="s">
        <v>68</v>
      </c>
      <c r="AC8" s="94" t="s">
        <v>69</v>
      </c>
      <c r="AD8" s="94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94" t="s">
        <v>77</v>
      </c>
      <c r="AL8" s="94" t="s">
        <v>78</v>
      </c>
    </row>
    <row r="9" spans="1:39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0</v>
      </c>
      <c r="Q9" s="33">
        <f>REMC!DH6</f>
        <v>0</v>
      </c>
      <c r="R9" s="33">
        <f>REMC!DI6</f>
        <v>0</v>
      </c>
      <c r="S9" s="33">
        <f>REMC!DJ6</f>
        <v>0</v>
      </c>
      <c r="T9" s="33">
        <f>REMC!DK6</f>
        <v>0</v>
      </c>
      <c r="U9" s="529">
        <f>SUM(I9:T9)</f>
        <v>192</v>
      </c>
      <c r="V9" s="44">
        <f>Poblacion2024!AP6</f>
        <v>321.762</v>
      </c>
      <c r="W9" s="45">
        <f t="shared" ref="W9:W15" si="0">IF(V9=0,0,+U9/V9)</f>
        <v>0.59671434165625525</v>
      </c>
      <c r="X9" s="46">
        <f>X8</f>
        <v>0.95</v>
      </c>
      <c r="Y9" s="46">
        <f>+X9*$Y$8</f>
        <v>0.47499999999999998</v>
      </c>
      <c r="Z9" s="145">
        <f t="shared" ref="Z9:Z16" si="1">IF(+W9/Y9&gt;1,1,+W9/Y9)</f>
        <v>1</v>
      </c>
      <c r="AA9" s="77">
        <f>+Z9*$AA$8/100</f>
        <v>5.4900000000000004E-2</v>
      </c>
      <c r="AB9" s="146">
        <f>X9</f>
        <v>0.95</v>
      </c>
      <c r="AC9" s="146">
        <f>(AG9/AE9)</f>
        <v>0.59671434165625525</v>
      </c>
      <c r="AD9" s="495">
        <f>AC9/AB9</f>
        <v>0.62812035963816348</v>
      </c>
      <c r="AE9" s="499">
        <f>V9</f>
        <v>321.762</v>
      </c>
      <c r="AF9" s="500">
        <f>AE9*AB9</f>
        <v>305.6739</v>
      </c>
      <c r="AG9" s="499">
        <f>U9</f>
        <v>192</v>
      </c>
      <c r="AH9" s="500">
        <f>AF9/$AI$4</f>
        <v>25.472825</v>
      </c>
      <c r="AI9" s="500">
        <f>AH9*$AI$5</f>
        <v>178.309775</v>
      </c>
      <c r="AJ9" s="500">
        <f>U9</f>
        <v>192</v>
      </c>
      <c r="AK9" s="497">
        <f>AJ9/AI9</f>
        <v>1.0767777593797088</v>
      </c>
      <c r="AL9" s="429">
        <f>(AI9-AJ9)*-1</f>
        <v>13.690224999999998</v>
      </c>
    </row>
    <row r="10" spans="1:39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0</v>
      </c>
      <c r="Q10" s="38">
        <f>REMC!DH7</f>
        <v>0</v>
      </c>
      <c r="R10" s="38">
        <f>REMC!DI7</f>
        <v>0</v>
      </c>
      <c r="S10" s="38">
        <f>REMC!DJ7</f>
        <v>0</v>
      </c>
      <c r="T10" s="38">
        <f>REMC!DK7</f>
        <v>0</v>
      </c>
      <c r="U10" s="529">
        <f t="shared" ref="U10:U16" si="2">SUM(I10:T10)</f>
        <v>136</v>
      </c>
      <c r="V10" s="38">
        <f>Poblacion2024!AP7</f>
        <v>106</v>
      </c>
      <c r="W10" s="40">
        <f t="shared" si="0"/>
        <v>1.2830188679245282</v>
      </c>
      <c r="X10" s="42">
        <f t="shared" ref="X10:X16" si="3">X9</f>
        <v>0.95</v>
      </c>
      <c r="Y10" s="46">
        <f t="shared" ref="Y10:Y16" si="4">+X10*$Y$8</f>
        <v>0.47499999999999998</v>
      </c>
      <c r="Z10" s="113">
        <f t="shared" si="1"/>
        <v>1</v>
      </c>
      <c r="AA10" s="77">
        <f t="shared" ref="AA10:AA16" si="5">+Z10*$AA$8/100</f>
        <v>5.4900000000000004E-2</v>
      </c>
      <c r="AB10" s="146">
        <f t="shared" ref="AB10:AB16" si="6">X10</f>
        <v>0.95</v>
      </c>
      <c r="AC10" s="146">
        <f t="shared" ref="AC10:AC16" si="7">(AG10/AE10)</f>
        <v>1.2830188679245282</v>
      </c>
      <c r="AD10" s="495">
        <f t="shared" ref="AD10:AD16" si="8">AC10/AB10</f>
        <v>1.3505461767626614</v>
      </c>
      <c r="AE10" s="499">
        <f t="shared" ref="AE10:AE16" si="9">V10</f>
        <v>106</v>
      </c>
      <c r="AF10" s="500">
        <f t="shared" ref="AF10:AF16" si="10">AE10*AB10</f>
        <v>100.69999999999999</v>
      </c>
      <c r="AG10" s="499">
        <f t="shared" ref="AG10:AG16" si="11">U10</f>
        <v>136</v>
      </c>
      <c r="AH10" s="500">
        <f t="shared" ref="AH10:AH16" si="12">AF10/$AI$4</f>
        <v>8.3916666666666657</v>
      </c>
      <c r="AI10" s="500">
        <f t="shared" ref="AI10:AI16" si="13">AH10*$AI$5</f>
        <v>58.74166666666666</v>
      </c>
      <c r="AJ10" s="500">
        <f t="shared" ref="AJ10:AJ16" si="14">U10</f>
        <v>136</v>
      </c>
      <c r="AK10" s="497">
        <f t="shared" ref="AK10:AK16" si="15">AJ10/AI10</f>
        <v>2.3152220173074198</v>
      </c>
      <c r="AL10" s="429">
        <f t="shared" ref="AL10:AL16" si="16">(AI10-AJ10)*-1</f>
        <v>77.25833333333334</v>
      </c>
    </row>
    <row r="11" spans="1:39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0</v>
      </c>
      <c r="Q11" s="38">
        <f>REMC!DH8</f>
        <v>0</v>
      </c>
      <c r="R11" s="38">
        <f>REMC!DI8</f>
        <v>0</v>
      </c>
      <c r="S11" s="38">
        <f>REMC!DJ8</f>
        <v>0</v>
      </c>
      <c r="T11" s="38">
        <f>REMC!DK8</f>
        <v>0</v>
      </c>
      <c r="U11" s="529">
        <f t="shared" si="2"/>
        <v>181</v>
      </c>
      <c r="V11" s="38">
        <f>Poblacion2024!AP8</f>
        <v>496</v>
      </c>
      <c r="W11" s="40">
        <f t="shared" si="0"/>
        <v>0.36491935483870969</v>
      </c>
      <c r="X11" s="42">
        <f t="shared" si="3"/>
        <v>0.95</v>
      </c>
      <c r="Y11" s="46">
        <f t="shared" si="4"/>
        <v>0.47499999999999998</v>
      </c>
      <c r="Z11" s="113">
        <f t="shared" si="1"/>
        <v>0.76825127334465204</v>
      </c>
      <c r="AA11" s="77">
        <f t="shared" si="5"/>
        <v>4.2176994906621398E-2</v>
      </c>
      <c r="AB11" s="146">
        <f t="shared" si="6"/>
        <v>0.95</v>
      </c>
      <c r="AC11" s="146">
        <f t="shared" si="7"/>
        <v>0.36491935483870969</v>
      </c>
      <c r="AD11" s="495">
        <f t="shared" si="8"/>
        <v>0.38412563667232602</v>
      </c>
      <c r="AE11" s="499">
        <f t="shared" si="9"/>
        <v>496</v>
      </c>
      <c r="AF11" s="500">
        <f t="shared" si="10"/>
        <v>471.2</v>
      </c>
      <c r="AG11" s="499">
        <f t="shared" si="11"/>
        <v>181</v>
      </c>
      <c r="AH11" s="500">
        <f t="shared" si="12"/>
        <v>39.266666666666666</v>
      </c>
      <c r="AI11" s="500">
        <f t="shared" si="13"/>
        <v>274.86666666666667</v>
      </c>
      <c r="AJ11" s="500">
        <f t="shared" si="14"/>
        <v>181</v>
      </c>
      <c r="AK11" s="497">
        <f t="shared" si="15"/>
        <v>0.65850109143827307</v>
      </c>
      <c r="AL11" s="429">
        <f t="shared" si="16"/>
        <v>-93.866666666666674</v>
      </c>
    </row>
    <row r="12" spans="1:39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0</v>
      </c>
      <c r="Q12" s="38">
        <f>REMC!DH9</f>
        <v>0</v>
      </c>
      <c r="R12" s="38">
        <f>REMC!DI9</f>
        <v>0</v>
      </c>
      <c r="S12" s="38">
        <f>REMC!DJ9</f>
        <v>0</v>
      </c>
      <c r="T12" s="38">
        <f>REMC!DK9</f>
        <v>0</v>
      </c>
      <c r="U12" s="529">
        <f t="shared" si="2"/>
        <v>187</v>
      </c>
      <c r="V12" s="38">
        <f>Poblacion2024!AP9</f>
        <v>304.61200000000002</v>
      </c>
      <c r="W12" s="40">
        <f>IF(V12=0,0,+U12/V12)</f>
        <v>0.61389570995233278</v>
      </c>
      <c r="X12" s="42">
        <f t="shared" si="3"/>
        <v>0.95</v>
      </c>
      <c r="Y12" s="46">
        <f t="shared" si="4"/>
        <v>0.47499999999999998</v>
      </c>
      <c r="Z12" s="113">
        <f t="shared" si="1"/>
        <v>1</v>
      </c>
      <c r="AA12" s="77">
        <f t="shared" si="5"/>
        <v>5.4900000000000004E-2</v>
      </c>
      <c r="AB12" s="146">
        <f t="shared" si="6"/>
        <v>0.95</v>
      </c>
      <c r="AC12" s="146">
        <f t="shared" si="7"/>
        <v>0.61389570995233278</v>
      </c>
      <c r="AD12" s="495">
        <f t="shared" si="8"/>
        <v>0.64620601047613979</v>
      </c>
      <c r="AE12" s="499">
        <f t="shared" si="9"/>
        <v>304.61200000000002</v>
      </c>
      <c r="AF12" s="500">
        <f t="shared" si="10"/>
        <v>289.38139999999999</v>
      </c>
      <c r="AG12" s="499">
        <f t="shared" si="11"/>
        <v>187</v>
      </c>
      <c r="AH12" s="500">
        <f t="shared" si="12"/>
        <v>24.115116666666665</v>
      </c>
      <c r="AI12" s="500">
        <f t="shared" si="13"/>
        <v>168.80581666666666</v>
      </c>
      <c r="AJ12" s="500">
        <f t="shared" si="14"/>
        <v>187</v>
      </c>
      <c r="AK12" s="497">
        <f t="shared" si="15"/>
        <v>1.1077817322448111</v>
      </c>
      <c r="AL12" s="429">
        <f t="shared" si="16"/>
        <v>18.194183333333342</v>
      </c>
    </row>
    <row r="13" spans="1:39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98">
        <f>REMC!DD10</f>
        <v>19</v>
      </c>
      <c r="N13" s="38">
        <f>REMC!DE10</f>
        <v>7</v>
      </c>
      <c r="O13" s="38">
        <f>REMC!DF10</f>
        <v>17</v>
      </c>
      <c r="P13" s="38">
        <f>REMC!DG10</f>
        <v>0</v>
      </c>
      <c r="Q13" s="38">
        <f>REMC!DH10</f>
        <v>0</v>
      </c>
      <c r="R13" s="38">
        <f>REMC!DI10</f>
        <v>0</v>
      </c>
      <c r="S13" s="38">
        <f>REMC!DJ10</f>
        <v>0</v>
      </c>
      <c r="T13" s="38">
        <f>REMC!DK10</f>
        <v>0</v>
      </c>
      <c r="U13" s="529">
        <f t="shared" si="2"/>
        <v>83</v>
      </c>
      <c r="V13" s="38">
        <f>Poblacion2024!AP10</f>
        <v>312</v>
      </c>
      <c r="W13" s="40">
        <f t="shared" si="0"/>
        <v>0.26602564102564102</v>
      </c>
      <c r="X13" s="42">
        <f t="shared" si="3"/>
        <v>0.95</v>
      </c>
      <c r="Y13" s="46">
        <f t="shared" si="4"/>
        <v>0.47499999999999998</v>
      </c>
      <c r="Z13" s="113">
        <f t="shared" si="1"/>
        <v>0.56005398110661275</v>
      </c>
      <c r="AA13" s="77">
        <f t="shared" si="5"/>
        <v>3.0746963562753041E-2</v>
      </c>
      <c r="AB13" s="146">
        <f t="shared" si="6"/>
        <v>0.95</v>
      </c>
      <c r="AC13" s="146">
        <f t="shared" si="7"/>
        <v>0.26602564102564102</v>
      </c>
      <c r="AD13" s="495">
        <f t="shared" si="8"/>
        <v>0.28002699055330638</v>
      </c>
      <c r="AE13" s="499">
        <f t="shared" si="9"/>
        <v>312</v>
      </c>
      <c r="AF13" s="500">
        <f t="shared" si="10"/>
        <v>296.39999999999998</v>
      </c>
      <c r="AG13" s="499">
        <f t="shared" si="11"/>
        <v>83</v>
      </c>
      <c r="AH13" s="500">
        <f t="shared" si="12"/>
        <v>24.7</v>
      </c>
      <c r="AI13" s="500">
        <f t="shared" si="13"/>
        <v>172.9</v>
      </c>
      <c r="AJ13" s="500">
        <f t="shared" si="14"/>
        <v>83</v>
      </c>
      <c r="AK13" s="497">
        <f t="shared" si="15"/>
        <v>0.48004626951995372</v>
      </c>
      <c r="AL13" s="429">
        <f t="shared" si="16"/>
        <v>-89.9</v>
      </c>
    </row>
    <row r="14" spans="1:39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0</v>
      </c>
      <c r="S14" s="38">
        <f>REMC!DJ11</f>
        <v>0</v>
      </c>
      <c r="T14" s="38">
        <f>REMC!DK11</f>
        <v>0</v>
      </c>
      <c r="U14" s="529">
        <f t="shared" si="2"/>
        <v>2</v>
      </c>
      <c r="V14" s="38">
        <f>Poblacion2024!AP11</f>
        <v>4.2379999999999995</v>
      </c>
      <c r="W14" s="40">
        <f t="shared" si="0"/>
        <v>0.47192071731949037</v>
      </c>
      <c r="X14" s="42">
        <f t="shared" si="3"/>
        <v>0.95</v>
      </c>
      <c r="Y14" s="46">
        <f t="shared" si="4"/>
        <v>0.47499999999999998</v>
      </c>
      <c r="Z14" s="113">
        <f t="shared" si="1"/>
        <v>0.99351729961997981</v>
      </c>
      <c r="AA14" s="77">
        <f t="shared" si="5"/>
        <v>5.4544099749136897E-2</v>
      </c>
      <c r="AB14" s="146">
        <f t="shared" si="6"/>
        <v>0.95</v>
      </c>
      <c r="AC14" s="146">
        <f t="shared" si="7"/>
        <v>0.47192071731949037</v>
      </c>
      <c r="AD14" s="495">
        <f t="shared" si="8"/>
        <v>0.49675864980998991</v>
      </c>
      <c r="AE14" s="499">
        <f t="shared" si="9"/>
        <v>4.2379999999999995</v>
      </c>
      <c r="AF14" s="500">
        <f t="shared" si="10"/>
        <v>4.0260999999999996</v>
      </c>
      <c r="AG14" s="499">
        <f t="shared" si="11"/>
        <v>2</v>
      </c>
      <c r="AH14" s="500">
        <f t="shared" si="12"/>
        <v>0.3355083333333333</v>
      </c>
      <c r="AI14" s="500">
        <f t="shared" si="13"/>
        <v>2.3485583333333331</v>
      </c>
      <c r="AJ14" s="500">
        <f t="shared" si="14"/>
        <v>2</v>
      </c>
      <c r="AK14" s="497">
        <f t="shared" si="15"/>
        <v>0.85158625681712552</v>
      </c>
      <c r="AL14" s="429">
        <f t="shared" si="16"/>
        <v>-0.34855833333333308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0</v>
      </c>
      <c r="Q15" s="52">
        <f>REMC!DH12</f>
        <v>0</v>
      </c>
      <c r="R15" s="52">
        <f>REMC!DI12</f>
        <v>0</v>
      </c>
      <c r="S15" s="52">
        <f>REMC!DJ12</f>
        <v>0</v>
      </c>
      <c r="T15" s="52">
        <f>REMC!DK12</f>
        <v>0</v>
      </c>
      <c r="U15" s="568">
        <f t="shared" si="2"/>
        <v>45</v>
      </c>
      <c r="V15" s="52">
        <f>Poblacion2024!AP12</f>
        <v>80.388000000000005</v>
      </c>
      <c r="W15" s="54">
        <f t="shared" si="0"/>
        <v>0.55978504254366324</v>
      </c>
      <c r="X15" s="55">
        <f t="shared" si="3"/>
        <v>0.95</v>
      </c>
      <c r="Y15" s="750">
        <f t="shared" si="4"/>
        <v>0.47499999999999998</v>
      </c>
      <c r="Z15" s="116">
        <f t="shared" si="1"/>
        <v>1</v>
      </c>
      <c r="AA15" s="77">
        <f t="shared" si="5"/>
        <v>5.4900000000000004E-2</v>
      </c>
      <c r="AB15" s="542">
        <f t="shared" si="6"/>
        <v>0.95</v>
      </c>
      <c r="AC15" s="542">
        <f t="shared" si="7"/>
        <v>0.55978504254366324</v>
      </c>
      <c r="AD15" s="571">
        <f t="shared" si="8"/>
        <v>0.5892474132038561</v>
      </c>
      <c r="AE15" s="499">
        <f t="shared" si="9"/>
        <v>80.388000000000005</v>
      </c>
      <c r="AF15" s="500">
        <f t="shared" si="10"/>
        <v>76.368600000000001</v>
      </c>
      <c r="AG15" s="499">
        <f t="shared" si="11"/>
        <v>45</v>
      </c>
      <c r="AH15" s="500">
        <f t="shared" si="12"/>
        <v>6.3640499999999998</v>
      </c>
      <c r="AI15" s="500">
        <f t="shared" si="13"/>
        <v>44.548349999999999</v>
      </c>
      <c r="AJ15" s="500">
        <f t="shared" si="14"/>
        <v>45</v>
      </c>
      <c r="AK15" s="574">
        <f t="shared" si="15"/>
        <v>1.0101384226351817</v>
      </c>
      <c r="AL15" s="429">
        <f t="shared" si="16"/>
        <v>0.45165000000000077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0</v>
      </c>
      <c r="Q16" s="30">
        <f t="shared" si="17"/>
        <v>0</v>
      </c>
      <c r="R16" s="30">
        <f t="shared" si="17"/>
        <v>0</v>
      </c>
      <c r="S16" s="30">
        <f t="shared" si="17"/>
        <v>0</v>
      </c>
      <c r="T16" s="30">
        <f t="shared" si="17"/>
        <v>0</v>
      </c>
      <c r="U16" s="554">
        <f t="shared" si="2"/>
        <v>826</v>
      </c>
      <c r="V16" s="30">
        <f>SUM(V9:V15)</f>
        <v>1625</v>
      </c>
      <c r="W16" s="478">
        <f>IF(V16=0,0,+U16/V16)</f>
        <v>0.50830769230769235</v>
      </c>
      <c r="X16" s="675">
        <f t="shared" si="3"/>
        <v>0.95</v>
      </c>
      <c r="Y16" s="509">
        <f t="shared" si="4"/>
        <v>0.47499999999999998</v>
      </c>
      <c r="Z16" s="510">
        <f t="shared" si="1"/>
        <v>1</v>
      </c>
      <c r="AA16" s="511">
        <f t="shared" si="5"/>
        <v>5.4900000000000004E-2</v>
      </c>
      <c r="AB16" s="569">
        <f t="shared" si="6"/>
        <v>0.95</v>
      </c>
      <c r="AC16" s="545">
        <f t="shared" si="7"/>
        <v>0.50830769230769235</v>
      </c>
      <c r="AD16" s="572">
        <f t="shared" si="8"/>
        <v>0.53506072874493937</v>
      </c>
      <c r="AE16" s="499">
        <f t="shared" si="9"/>
        <v>1625</v>
      </c>
      <c r="AF16" s="500">
        <f t="shared" si="10"/>
        <v>1543.75</v>
      </c>
      <c r="AG16" s="499">
        <f t="shared" si="11"/>
        <v>826</v>
      </c>
      <c r="AH16" s="500">
        <f t="shared" si="12"/>
        <v>128.64583333333334</v>
      </c>
      <c r="AI16" s="500">
        <f t="shared" si="13"/>
        <v>900.52083333333337</v>
      </c>
      <c r="AJ16" s="500">
        <f t="shared" si="14"/>
        <v>826</v>
      </c>
      <c r="AK16" s="575">
        <f t="shared" si="15"/>
        <v>0.91724696356275304</v>
      </c>
      <c r="AL16" s="429">
        <f t="shared" si="16"/>
        <v>-74.520833333333371</v>
      </c>
    </row>
    <row r="20" spans="7:7" x14ac:dyDescent="0.25">
      <c r="G20" s="799" t="s">
        <v>531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Z19"/>
  <sheetViews>
    <sheetView topLeftCell="B1" zoomScale="85" zoomScaleNormal="85" workbookViewId="0">
      <selection activeCell="I12" sqref="I1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10" style="57" bestFit="1" customWidth="1"/>
    <col min="18" max="20" width="11.42578125" style="5"/>
    <col min="21" max="21" width="10.42578125" style="57" customWidth="1"/>
    <col min="22" max="16384" width="11.42578125" style="5"/>
  </cols>
  <sheetData>
    <row r="1" spans="1:26" s="2" customFormat="1" ht="44.2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  <c r="Q1" s="56"/>
      <c r="U1" s="56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56"/>
      <c r="Q2" s="56"/>
      <c r="U2" s="56"/>
    </row>
    <row r="3" spans="1:26" ht="27.75" customHeight="1" thickBot="1" x14ac:dyDescent="0.3">
      <c r="P3" s="5"/>
      <c r="Q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64" t="s">
        <v>511</v>
      </c>
      <c r="I4" s="879"/>
      <c r="J4" s="865"/>
      <c r="K4" s="865"/>
      <c r="L4" s="865"/>
      <c r="M4" s="865"/>
      <c r="N4" s="865"/>
      <c r="O4" s="866"/>
      <c r="P4" s="5"/>
      <c r="Q4" s="5"/>
      <c r="S4" s="6"/>
      <c r="U4" s="5"/>
      <c r="V4" s="88" t="s">
        <v>46</v>
      </c>
      <c r="W4" s="89">
        <f>meta3!AB2</f>
        <v>7</v>
      </c>
      <c r="X4" s="6"/>
    </row>
    <row r="5" spans="1:26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9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7.25" customHeight="1" thickBot="1" x14ac:dyDescent="0.3">
      <c r="G6" s="58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1.25" customHeight="1" thickBot="1" x14ac:dyDescent="0.3">
      <c r="G7" s="606" t="s">
        <v>431</v>
      </c>
      <c r="H7" s="220" t="s">
        <v>135</v>
      </c>
      <c r="I7" s="220" t="s">
        <v>135</v>
      </c>
      <c r="J7" s="11" t="s">
        <v>136</v>
      </c>
      <c r="K7" s="871"/>
      <c r="L7" s="12" t="s">
        <v>11</v>
      </c>
      <c r="M7" s="13" t="s">
        <v>12</v>
      </c>
      <c r="N7" s="14" t="s">
        <v>13</v>
      </c>
      <c r="O7" s="14" t="s">
        <v>14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36" customHeight="1" thickBot="1" x14ac:dyDescent="0.3">
      <c r="G8" s="667"/>
      <c r="H8" s="672" t="s">
        <v>519</v>
      </c>
      <c r="I8" s="672" t="s">
        <v>520</v>
      </c>
      <c r="J8" s="440"/>
      <c r="K8" s="668"/>
      <c r="L8" s="792">
        <f>indicadores!E44</f>
        <v>0.65900000000000003</v>
      </c>
      <c r="M8" s="493">
        <f>indicadores!$D$54</f>
        <v>0.5</v>
      </c>
      <c r="N8" s="442"/>
      <c r="O8" s="761">
        <v>4.17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REMP!N6</f>
        <v>655</v>
      </c>
      <c r="I9" s="34">
        <f>REMP!W6</f>
        <v>887</v>
      </c>
      <c r="J9" s="34">
        <f>Poblacion2024!AR6</f>
        <v>675.10799999999995</v>
      </c>
      <c r="K9" s="221">
        <f>IF(J9=0,0,+I9/J9)</f>
        <v>1.3138638558571369</v>
      </c>
      <c r="L9" s="46">
        <f>$L$8</f>
        <v>0.65900000000000003</v>
      </c>
      <c r="M9" s="46">
        <f>+L9*$M$8</f>
        <v>0.32950000000000002</v>
      </c>
      <c r="N9" s="110">
        <f t="shared" ref="N9:N16" si="0">IF(+K9/M9&gt;1,1,+K9/M9)</f>
        <v>1</v>
      </c>
      <c r="O9" s="17">
        <f>+N9*$O$8/100</f>
        <v>4.1700000000000001E-2</v>
      </c>
      <c r="P9" s="146">
        <f>L9</f>
        <v>0.65900000000000003</v>
      </c>
      <c r="Q9" s="146">
        <f>(U9/S9)</f>
        <v>1.3138638558571369</v>
      </c>
      <c r="R9" s="147">
        <f>Q9/P9</f>
        <v>1.9937236052460348</v>
      </c>
      <c r="S9" s="97">
        <f>J9</f>
        <v>675.10799999999995</v>
      </c>
      <c r="T9" s="98">
        <f>S9*P9</f>
        <v>444.89617199999998</v>
      </c>
      <c r="U9" s="97">
        <f>I9</f>
        <v>887</v>
      </c>
      <c r="V9" s="98">
        <f>T9/$W$3</f>
        <v>37.074680999999998</v>
      </c>
      <c r="W9" s="98">
        <f>V9*$W$4</f>
        <v>259.52276699999999</v>
      </c>
      <c r="X9" s="98">
        <f>H9</f>
        <v>655</v>
      </c>
      <c r="Y9" s="99">
        <f>X9/W9</f>
        <v>2.5238633495303326</v>
      </c>
      <c r="Z9" s="429">
        <f>(W9-X9)*-1</f>
        <v>395.47723300000001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REMP!N7</f>
        <v>603</v>
      </c>
      <c r="I10" s="39">
        <f>REMP!W7</f>
        <v>672</v>
      </c>
      <c r="J10" s="39">
        <f>Poblacion2024!AR7</f>
        <v>362</v>
      </c>
      <c r="K10" s="221">
        <f t="shared" ref="K10:K15" si="1">IF(J10=0,0,+I10/J10)</f>
        <v>1.8563535911602209</v>
      </c>
      <c r="L10" s="42">
        <f t="shared" ref="L10:L16" si="2">$L$8</f>
        <v>0.65900000000000003</v>
      </c>
      <c r="M10" s="42">
        <f t="shared" ref="M10:M16" si="3">+L10*$M$8</f>
        <v>0.32950000000000002</v>
      </c>
      <c r="N10" s="113">
        <f t="shared" si="0"/>
        <v>1</v>
      </c>
      <c r="O10" s="17">
        <f t="shared" ref="O10:O16" si="4">+N10*$O$8/100</f>
        <v>4.1700000000000001E-2</v>
      </c>
      <c r="P10" s="146">
        <f t="shared" ref="P10:P16" si="5">L10</f>
        <v>0.65900000000000003</v>
      </c>
      <c r="Q10" s="146">
        <f t="shared" ref="Q10:Q16" si="6">(U10/S10)</f>
        <v>1.8563535911602209</v>
      </c>
      <c r="R10" s="147">
        <f t="shared" ref="R10:R16" si="7">Q10/P10</f>
        <v>2.8169250245223383</v>
      </c>
      <c r="S10" s="97">
        <f t="shared" ref="S10:S16" si="8">J10</f>
        <v>362</v>
      </c>
      <c r="T10" s="98">
        <f t="shared" ref="T10:T16" si="9">S10*P10</f>
        <v>238.55800000000002</v>
      </c>
      <c r="U10" s="97">
        <f t="shared" ref="U10:U15" si="10">I10</f>
        <v>672</v>
      </c>
      <c r="V10" s="98">
        <f t="shared" ref="V10:V15" si="11">T10/$W$3</f>
        <v>19.879833333333334</v>
      </c>
      <c r="W10" s="98">
        <f t="shared" ref="W10:W16" si="12">V10*$W$4</f>
        <v>139.15883333333335</v>
      </c>
      <c r="X10" s="98">
        <f t="shared" ref="X10:X16" si="13">H10</f>
        <v>603</v>
      </c>
      <c r="Y10" s="99">
        <f t="shared" ref="Y10:Y16" si="14">X10/W10</f>
        <v>4.3331780351708415</v>
      </c>
      <c r="Z10" s="429">
        <f t="shared" ref="Z10:Z16" si="15">(W10-X10)*-1</f>
        <v>463.84116666666665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REMP!N8</f>
        <v>362</v>
      </c>
      <c r="I11" s="39">
        <f>REMP!W8</f>
        <v>449</v>
      </c>
      <c r="J11" s="39">
        <f>Poblacion2024!AR8</f>
        <v>938</v>
      </c>
      <c r="K11" s="221">
        <f t="shared" si="1"/>
        <v>0.47867803837953093</v>
      </c>
      <c r="L11" s="42">
        <f t="shared" si="2"/>
        <v>0.65900000000000003</v>
      </c>
      <c r="M11" s="42">
        <f t="shared" si="3"/>
        <v>0.32950000000000002</v>
      </c>
      <c r="N11" s="113">
        <f t="shared" si="0"/>
        <v>1</v>
      </c>
      <c r="O11" s="17">
        <f t="shared" si="4"/>
        <v>4.1700000000000001E-2</v>
      </c>
      <c r="P11" s="146">
        <f t="shared" si="5"/>
        <v>0.65900000000000003</v>
      </c>
      <c r="Q11" s="146">
        <f t="shared" si="6"/>
        <v>0.47867803837953093</v>
      </c>
      <c r="R11" s="147">
        <f t="shared" si="7"/>
        <v>0.7263703162056615</v>
      </c>
      <c r="S11" s="97">
        <f t="shared" si="8"/>
        <v>938</v>
      </c>
      <c r="T11" s="98">
        <f t="shared" si="9"/>
        <v>618.14200000000005</v>
      </c>
      <c r="U11" s="97">
        <f t="shared" si="10"/>
        <v>449</v>
      </c>
      <c r="V11" s="98">
        <f t="shared" si="11"/>
        <v>51.511833333333335</v>
      </c>
      <c r="W11" s="98">
        <f t="shared" si="12"/>
        <v>360.58283333333333</v>
      </c>
      <c r="X11" s="98">
        <f t="shared" si="13"/>
        <v>362</v>
      </c>
      <c r="Y11" s="99">
        <f t="shared" si="14"/>
        <v>1.0039302111350281</v>
      </c>
      <c r="Z11" s="429">
        <f t="shared" si="15"/>
        <v>1.4171666666666738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REMP!N9</f>
        <v>498</v>
      </c>
      <c r="I12" s="39">
        <f>REMP!W9</f>
        <v>547</v>
      </c>
      <c r="J12" s="39">
        <f>Poblacion2024!AR9</f>
        <v>669.35519999999997</v>
      </c>
      <c r="K12" s="221">
        <f t="shared" si="1"/>
        <v>0.81720437818366098</v>
      </c>
      <c r="L12" s="42">
        <f t="shared" si="2"/>
        <v>0.65900000000000003</v>
      </c>
      <c r="M12" s="42">
        <f t="shared" si="3"/>
        <v>0.32950000000000002</v>
      </c>
      <c r="N12" s="113">
        <f t="shared" si="0"/>
        <v>1</v>
      </c>
      <c r="O12" s="17">
        <f t="shared" si="4"/>
        <v>4.1700000000000001E-2</v>
      </c>
      <c r="P12" s="146">
        <f t="shared" si="5"/>
        <v>0.65900000000000003</v>
      </c>
      <c r="Q12" s="146">
        <f t="shared" si="6"/>
        <v>0.81720437818366098</v>
      </c>
      <c r="R12" s="147">
        <f t="shared" si="7"/>
        <v>1.2400673417051</v>
      </c>
      <c r="S12" s="97">
        <f t="shared" si="8"/>
        <v>669.35519999999997</v>
      </c>
      <c r="T12" s="98">
        <f t="shared" si="9"/>
        <v>441.10507680000001</v>
      </c>
      <c r="U12" s="97">
        <f t="shared" si="10"/>
        <v>547</v>
      </c>
      <c r="V12" s="98">
        <f t="shared" si="11"/>
        <v>36.758756400000003</v>
      </c>
      <c r="W12" s="98">
        <f t="shared" si="12"/>
        <v>257.31129480000004</v>
      </c>
      <c r="X12" s="98">
        <f t="shared" si="13"/>
        <v>498</v>
      </c>
      <c r="Y12" s="99">
        <f t="shared" si="14"/>
        <v>1.9353989119952146</v>
      </c>
      <c r="Z12" s="429">
        <f t="shared" si="15"/>
        <v>240.68870519999996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REMP!N10</f>
        <v>508</v>
      </c>
      <c r="I13" s="39">
        <f>REMP!W10</f>
        <v>559</v>
      </c>
      <c r="J13" s="39">
        <f>Poblacion2024!AR10</f>
        <v>917</v>
      </c>
      <c r="K13" s="221">
        <f t="shared" si="1"/>
        <v>0.60959651035986917</v>
      </c>
      <c r="L13" s="42">
        <f t="shared" si="2"/>
        <v>0.65900000000000003</v>
      </c>
      <c r="M13" s="42">
        <f t="shared" si="3"/>
        <v>0.32950000000000002</v>
      </c>
      <c r="N13" s="113">
        <f t="shared" si="0"/>
        <v>1</v>
      </c>
      <c r="O13" s="17">
        <f t="shared" si="4"/>
        <v>4.1700000000000001E-2</v>
      </c>
      <c r="P13" s="146">
        <f t="shared" si="5"/>
        <v>0.65900000000000003</v>
      </c>
      <c r="Q13" s="146">
        <f t="shared" si="6"/>
        <v>0.60959651035986917</v>
      </c>
      <c r="R13" s="147">
        <f t="shared" si="7"/>
        <v>0.92503264091027182</v>
      </c>
      <c r="S13" s="97">
        <f t="shared" si="8"/>
        <v>917</v>
      </c>
      <c r="T13" s="98">
        <f t="shared" si="9"/>
        <v>604.303</v>
      </c>
      <c r="U13" s="97">
        <f t="shared" si="10"/>
        <v>559</v>
      </c>
      <c r="V13" s="98">
        <f t="shared" si="11"/>
        <v>50.358583333333335</v>
      </c>
      <c r="W13" s="98">
        <f t="shared" si="12"/>
        <v>352.51008333333334</v>
      </c>
      <c r="X13" s="98">
        <f t="shared" si="13"/>
        <v>508</v>
      </c>
      <c r="Y13" s="99">
        <f t="shared" si="14"/>
        <v>1.4410935290030711</v>
      </c>
      <c r="Z13" s="429">
        <f t="shared" si="15"/>
        <v>155.48991666666666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REMP!N11</f>
        <v>9</v>
      </c>
      <c r="I14" s="39">
        <f>REMP!W11</f>
        <v>8</v>
      </c>
      <c r="J14" s="39">
        <f>Poblacion2024!AR11</f>
        <v>8.8919999999999995</v>
      </c>
      <c r="K14" s="221">
        <f t="shared" si="1"/>
        <v>0.89968511021142605</v>
      </c>
      <c r="L14" s="42">
        <f t="shared" si="2"/>
        <v>0.65900000000000003</v>
      </c>
      <c r="M14" s="42">
        <f t="shared" si="3"/>
        <v>0.32950000000000002</v>
      </c>
      <c r="N14" s="113">
        <f t="shared" si="0"/>
        <v>1</v>
      </c>
      <c r="O14" s="17">
        <f t="shared" si="4"/>
        <v>4.1700000000000001E-2</v>
      </c>
      <c r="P14" s="146">
        <f t="shared" si="5"/>
        <v>0.65900000000000003</v>
      </c>
      <c r="Q14" s="146">
        <f t="shared" si="6"/>
        <v>0.89968511021142605</v>
      </c>
      <c r="R14" s="147">
        <f t="shared" si="7"/>
        <v>1.3652277848428316</v>
      </c>
      <c r="S14" s="97">
        <f t="shared" si="8"/>
        <v>8.8919999999999995</v>
      </c>
      <c r="T14" s="98">
        <f t="shared" si="9"/>
        <v>5.8598280000000003</v>
      </c>
      <c r="U14" s="97">
        <f t="shared" si="10"/>
        <v>8</v>
      </c>
      <c r="V14" s="98">
        <f t="shared" si="11"/>
        <v>0.488319</v>
      </c>
      <c r="W14" s="98">
        <f t="shared" si="12"/>
        <v>3.4182329999999999</v>
      </c>
      <c r="X14" s="98">
        <f t="shared" si="13"/>
        <v>9</v>
      </c>
      <c r="Y14" s="99">
        <f t="shared" si="14"/>
        <v>2.6329392993397467</v>
      </c>
      <c r="Z14" s="429">
        <f t="shared" si="15"/>
        <v>5.5817670000000001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39">
        <f>REMP!N12</f>
        <v>131</v>
      </c>
      <c r="I15" s="39">
        <f>REMP!W12</f>
        <v>171</v>
      </c>
      <c r="J15" s="53">
        <f>Poblacion2024!AR12</f>
        <v>176.6448</v>
      </c>
      <c r="K15" s="221">
        <f t="shared" si="1"/>
        <v>0.96804434662101568</v>
      </c>
      <c r="L15" s="55">
        <f t="shared" si="2"/>
        <v>0.65900000000000003</v>
      </c>
      <c r="M15" s="55">
        <f t="shared" si="3"/>
        <v>0.32950000000000002</v>
      </c>
      <c r="N15" s="116">
        <f t="shared" si="0"/>
        <v>1</v>
      </c>
      <c r="O15" s="17">
        <f t="shared" si="4"/>
        <v>4.1700000000000001E-2</v>
      </c>
      <c r="P15" s="542">
        <f t="shared" si="5"/>
        <v>0.65900000000000003</v>
      </c>
      <c r="Q15" s="542">
        <f t="shared" si="6"/>
        <v>0.96804434662101568</v>
      </c>
      <c r="R15" s="543">
        <f t="shared" si="7"/>
        <v>1.4689595548118599</v>
      </c>
      <c r="S15" s="97">
        <f t="shared" si="8"/>
        <v>176.6448</v>
      </c>
      <c r="T15" s="98">
        <f t="shared" si="9"/>
        <v>116.4089232</v>
      </c>
      <c r="U15" s="97">
        <f t="shared" si="10"/>
        <v>171</v>
      </c>
      <c r="V15" s="98">
        <f t="shared" si="11"/>
        <v>9.7007436000000009</v>
      </c>
      <c r="W15" s="98">
        <f t="shared" si="12"/>
        <v>67.905205200000012</v>
      </c>
      <c r="X15" s="98">
        <f t="shared" si="13"/>
        <v>131</v>
      </c>
      <c r="Y15" s="544">
        <f t="shared" si="14"/>
        <v>1.9291599165950237</v>
      </c>
      <c r="Z15" s="429">
        <f t="shared" si="15"/>
        <v>63.094794799999988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30">
        <f>SUM(H9:H15)</f>
        <v>2766</v>
      </c>
      <c r="I16" s="30">
        <f>SUM(I9:I15)</f>
        <v>3293</v>
      </c>
      <c r="J16" s="30">
        <f>SUM(J9:J15)</f>
        <v>3747</v>
      </c>
      <c r="K16" s="576">
        <f t="shared" ref="K16" si="16">IF(J16=0,0,+H16/J16)</f>
        <v>0.73819055244195353</v>
      </c>
      <c r="L16" s="509">
        <f t="shared" si="2"/>
        <v>0.65900000000000003</v>
      </c>
      <c r="M16" s="509">
        <f t="shared" si="3"/>
        <v>0.32950000000000002</v>
      </c>
      <c r="N16" s="510">
        <f t="shared" si="0"/>
        <v>1</v>
      </c>
      <c r="O16" s="511">
        <f t="shared" si="4"/>
        <v>4.1700000000000001E-2</v>
      </c>
      <c r="P16" s="545">
        <f t="shared" si="5"/>
        <v>0.65900000000000003</v>
      </c>
      <c r="Q16" s="545">
        <f t="shared" si="6"/>
        <v>0.87883640245529759</v>
      </c>
      <c r="R16" s="546">
        <f t="shared" si="7"/>
        <v>1.3335908990216958</v>
      </c>
      <c r="S16" s="547">
        <f t="shared" si="8"/>
        <v>3747</v>
      </c>
      <c r="T16" s="548">
        <f t="shared" si="9"/>
        <v>2469.2730000000001</v>
      </c>
      <c r="U16" s="547">
        <f>I16</f>
        <v>3293</v>
      </c>
      <c r="V16" s="762">
        <f>T16/$W$3</f>
        <v>205.77275</v>
      </c>
      <c r="W16" s="548">
        <f t="shared" si="12"/>
        <v>1440.4092499999999</v>
      </c>
      <c r="X16" s="548">
        <f t="shared" si="13"/>
        <v>2766</v>
      </c>
      <c r="Y16" s="549">
        <f t="shared" si="14"/>
        <v>1.9202875849346288</v>
      </c>
      <c r="Z16" s="429">
        <f t="shared" si="15"/>
        <v>1325.5907500000001</v>
      </c>
    </row>
    <row r="19" spans="7:7" ht="23.25" x14ac:dyDescent="0.35">
      <c r="G19" s="618"/>
    </row>
  </sheetData>
  <autoFilter ref="G4:O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9" customWidth="1"/>
    <col min="2" max="2" width="2" style="239" customWidth="1"/>
    <col min="3" max="3" width="52.28515625" style="239" bestFit="1" customWidth="1"/>
    <col min="4" max="4" width="9.7109375" style="239" hidden="1" customWidth="1"/>
    <col min="5" max="5" width="11.42578125" style="239" customWidth="1"/>
    <col min="6" max="6" width="11" style="239" customWidth="1"/>
    <col min="7" max="7" width="13.42578125" style="239" customWidth="1"/>
    <col min="8" max="8" width="11" style="239" customWidth="1"/>
    <col min="9" max="9" width="10.140625" style="239" customWidth="1"/>
    <col min="10" max="13" width="11" style="239" customWidth="1"/>
    <col min="14" max="14" width="12.28515625" style="239" customWidth="1"/>
    <col min="15" max="15" width="12.140625" style="239" customWidth="1"/>
    <col min="16" max="23" width="12.42578125" style="239" customWidth="1"/>
    <col min="24" max="24" width="12.42578125" style="240" customWidth="1"/>
    <col min="25" max="25" width="15.5703125" style="239" customWidth="1"/>
    <col min="26" max="16384" width="11.42578125" style="239"/>
  </cols>
  <sheetData>
    <row r="1" spans="3:26" s="223" customFormat="1" ht="28.5" customHeight="1" thickBot="1" x14ac:dyDescent="0.5">
      <c r="C1" s="961" t="s">
        <v>0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222"/>
      <c r="Q1" s="222" t="str">
        <f>+NOMBRE!B7</f>
        <v>ENERO - JULIO 2024</v>
      </c>
      <c r="R1" s="222"/>
      <c r="S1" s="222"/>
      <c r="T1" s="222"/>
      <c r="U1" s="222"/>
      <c r="V1" s="222"/>
      <c r="W1" s="222"/>
      <c r="X1" s="222"/>
    </row>
    <row r="2" spans="3:26" s="225" customFormat="1" ht="22.5" customHeight="1" thickBot="1" x14ac:dyDescent="0.35">
      <c r="C2" s="962" t="s">
        <v>431</v>
      </c>
      <c r="D2" s="224"/>
      <c r="E2" s="965" t="s">
        <v>137</v>
      </c>
      <c r="F2" s="965"/>
      <c r="G2" s="965"/>
      <c r="H2" s="965"/>
      <c r="I2" s="965"/>
      <c r="J2" s="965"/>
      <c r="K2" s="965"/>
      <c r="L2" s="965"/>
      <c r="M2" s="965"/>
      <c r="N2" s="965"/>
      <c r="O2" s="965"/>
      <c r="P2" s="965"/>
      <c r="Q2" s="965"/>
      <c r="R2" s="965"/>
      <c r="S2" s="965"/>
      <c r="T2" s="965"/>
      <c r="U2" s="965"/>
      <c r="V2" s="965"/>
      <c r="W2" s="965"/>
      <c r="X2" s="966" t="s">
        <v>138</v>
      </c>
    </row>
    <row r="3" spans="3:26" s="232" customFormat="1" ht="16.5" customHeight="1" thickBot="1" x14ac:dyDescent="0.35">
      <c r="C3" s="963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31" t="s">
        <v>158</v>
      </c>
      <c r="X3" s="967"/>
    </row>
    <row r="4" spans="3:26" s="232" customFormat="1" ht="15" customHeight="1" x14ac:dyDescent="0.3">
      <c r="C4" s="963"/>
      <c r="D4" s="969"/>
      <c r="E4" s="971" t="s">
        <v>159</v>
      </c>
      <c r="F4" s="959" t="s">
        <v>160</v>
      </c>
      <c r="G4" s="959" t="s">
        <v>161</v>
      </c>
      <c r="H4" s="959" t="s">
        <v>162</v>
      </c>
      <c r="I4" s="974" t="s">
        <v>163</v>
      </c>
      <c r="J4" s="959" t="s">
        <v>164</v>
      </c>
      <c r="K4" s="959" t="s">
        <v>165</v>
      </c>
      <c r="L4" s="959" t="s">
        <v>166</v>
      </c>
      <c r="M4" s="975" t="s">
        <v>167</v>
      </c>
      <c r="N4" s="959" t="s">
        <v>168</v>
      </c>
      <c r="O4" s="959" t="s">
        <v>169</v>
      </c>
      <c r="P4" s="959" t="s">
        <v>169</v>
      </c>
      <c r="Q4" s="978" t="s">
        <v>170</v>
      </c>
      <c r="R4" s="959" t="s">
        <v>171</v>
      </c>
      <c r="S4" s="978" t="s">
        <v>172</v>
      </c>
      <c r="T4" s="959" t="s">
        <v>173</v>
      </c>
      <c r="U4" s="959" t="s">
        <v>174</v>
      </c>
      <c r="V4" s="959" t="s">
        <v>175</v>
      </c>
      <c r="W4" s="976" t="s">
        <v>176</v>
      </c>
      <c r="X4" s="967"/>
    </row>
    <row r="5" spans="3:26" s="232" customFormat="1" ht="87.75" customHeight="1" thickBot="1" x14ac:dyDescent="0.35">
      <c r="C5" s="964"/>
      <c r="D5" s="970"/>
      <c r="E5" s="972"/>
      <c r="F5" s="973"/>
      <c r="G5" s="973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77"/>
      <c r="X5" s="968"/>
    </row>
    <row r="6" spans="3:26" s="236" customFormat="1" ht="15" customHeight="1" x14ac:dyDescent="0.3">
      <c r="C6" s="19" t="s">
        <v>432</v>
      </c>
      <c r="D6" s="233"/>
      <c r="E6" s="609"/>
      <c r="F6" s="233"/>
      <c r="G6" s="233">
        <f>+meta3!$Y9</f>
        <v>0.87310706986874786</v>
      </c>
      <c r="H6" s="233">
        <f>+meta4!$AK9</f>
        <v>1</v>
      </c>
      <c r="I6" s="233">
        <f>+meta5!$Z9</f>
        <v>0.96659046817794969</v>
      </c>
      <c r="J6" s="233">
        <f>+meta6.1a!$Z9</f>
        <v>0.73087399484778537</v>
      </c>
      <c r="K6" s="233">
        <f>+meta6.2!$Z9</f>
        <v>0.82551368267598635</v>
      </c>
      <c r="L6" s="233">
        <f>+meta7!$Y9</f>
        <v>1</v>
      </c>
      <c r="M6" s="233">
        <f>+meta8!$Y9</f>
        <v>0.67277038207412865</v>
      </c>
      <c r="N6" s="233">
        <f>+meta9!$Z9</f>
        <v>0.99514249207288663</v>
      </c>
      <c r="O6" s="233">
        <f>+meta10a!$Z9</f>
        <v>1</v>
      </c>
      <c r="P6" s="233">
        <f>+meta10b!Y9</f>
        <v>0.83333333333333337</v>
      </c>
      <c r="Q6" s="233"/>
      <c r="R6" s="233">
        <f>+meta13!$AK9</f>
        <v>1</v>
      </c>
      <c r="S6" s="233">
        <f>+meta14!N9</f>
        <v>0.91390610231032587</v>
      </c>
      <c r="T6" s="233">
        <f>+meta15!N9</f>
        <v>0.8967787660744142</v>
      </c>
      <c r="U6" s="233">
        <f>+meta16!N9</f>
        <v>0.84100333838217123</v>
      </c>
      <c r="V6" s="233">
        <f>+meta17!$Z9</f>
        <v>1</v>
      </c>
      <c r="W6" s="233">
        <f>+meta18!N9</f>
        <v>1</v>
      </c>
      <c r="X6" s="234">
        <f>+CumplimientoPonderado!X6</f>
        <v>0.79931639925644171</v>
      </c>
      <c r="Y6" s="235"/>
      <c r="Z6" s="235"/>
    </row>
    <row r="7" spans="3:26" s="236" customFormat="1" ht="15" customHeight="1" x14ac:dyDescent="0.3">
      <c r="C7" s="19" t="s">
        <v>433</v>
      </c>
      <c r="D7" s="237"/>
      <c r="E7" s="610"/>
      <c r="F7" s="237"/>
      <c r="G7" s="237">
        <f>+meta3!$Y10</f>
        <v>0.96925694294682863</v>
      </c>
      <c r="H7" s="237">
        <f>+meta4!$AK10</f>
        <v>1</v>
      </c>
      <c r="I7" s="237">
        <f>+meta5!$Z10</f>
        <v>0.44856588311408235</v>
      </c>
      <c r="J7" s="237">
        <f>+meta6.1a!$Z10</f>
        <v>1</v>
      </c>
      <c r="K7" s="237">
        <f>+meta6.2!$Z10</f>
        <v>0.84474394819222409</v>
      </c>
      <c r="L7" s="237">
        <f>+meta7!$Y10</f>
        <v>1</v>
      </c>
      <c r="M7" s="237">
        <f>+meta8!$Y10</f>
        <v>0.98306667649733348</v>
      </c>
      <c r="N7" s="237">
        <f>+meta9!$Z10</f>
        <v>0.80773060167567201</v>
      </c>
      <c r="O7" s="237">
        <f>+meta10a!$Z10</f>
        <v>1</v>
      </c>
      <c r="P7" s="237">
        <f>+meta10b!Y10</f>
        <v>1</v>
      </c>
      <c r="Q7" s="237"/>
      <c r="R7" s="237">
        <f>+meta13!$AK10</f>
        <v>1</v>
      </c>
      <c r="S7" s="237">
        <f>+meta14!N10</f>
        <v>1</v>
      </c>
      <c r="T7" s="237">
        <f>+meta15!N10</f>
        <v>1</v>
      </c>
      <c r="U7" s="237">
        <f>+meta16!N10</f>
        <v>0.98182177030199425</v>
      </c>
      <c r="V7" s="237">
        <f>+meta17!$Z10</f>
        <v>1</v>
      </c>
      <c r="W7" s="237">
        <f>+meta18!N10</f>
        <v>1</v>
      </c>
      <c r="X7" s="238">
        <f>+CumplimientoPonderado!X7</f>
        <v>0.80548008758775291</v>
      </c>
      <c r="Y7" s="235"/>
      <c r="Z7" s="235"/>
    </row>
    <row r="8" spans="3:26" s="236" customFormat="1" ht="15" customHeight="1" x14ac:dyDescent="0.3">
      <c r="C8" s="19" t="s">
        <v>434</v>
      </c>
      <c r="D8" s="237"/>
      <c r="E8" s="610"/>
      <c r="F8" s="237"/>
      <c r="G8" s="237">
        <f>+meta3!$Y11</f>
        <v>1</v>
      </c>
      <c r="H8" s="237">
        <f>+meta4!$AK11</f>
        <v>0.96032520861742576</v>
      </c>
      <c r="I8" s="237">
        <f>+meta5!$Z11</f>
        <v>0.67147856517935256</v>
      </c>
      <c r="J8" s="237">
        <f>+meta6.1a!$Z11</f>
        <v>1</v>
      </c>
      <c r="K8" s="237">
        <f>+meta6.2!$Z11</f>
        <v>1</v>
      </c>
      <c r="L8" s="237">
        <f>+meta7!$Y11</f>
        <v>1</v>
      </c>
      <c r="M8" s="237">
        <f>+meta8!$Y11</f>
        <v>0.66452098445181029</v>
      </c>
      <c r="N8" s="237">
        <f>+meta9!$Z11</f>
        <v>0.81571026903484189</v>
      </c>
      <c r="O8" s="237">
        <f>+meta10a!$Z11</f>
        <v>1</v>
      </c>
      <c r="P8" s="237">
        <f>+meta10b!Y11</f>
        <v>1</v>
      </c>
      <c r="Q8" s="237"/>
      <c r="R8" s="237">
        <f>+meta13!$AK11</f>
        <v>0.94960438608076436</v>
      </c>
      <c r="S8" s="237">
        <f>+meta14!N11</f>
        <v>1</v>
      </c>
      <c r="T8" s="237">
        <f>+meta15!N11</f>
        <v>0.77399833321913092</v>
      </c>
      <c r="U8" s="237">
        <f>+meta16!N11</f>
        <v>0.79900529155987376</v>
      </c>
      <c r="V8" s="237">
        <f>+meta17!$Z11</f>
        <v>0.76825127334465204</v>
      </c>
      <c r="W8" s="237">
        <f>+meta18!N11</f>
        <v>1</v>
      </c>
      <c r="X8" s="238">
        <f>+CumplimientoPonderado!X8</f>
        <v>0.76879650423615087</v>
      </c>
      <c r="Y8" s="235"/>
      <c r="Z8" s="235"/>
    </row>
    <row r="9" spans="3:26" s="236" customFormat="1" ht="15" customHeight="1" x14ac:dyDescent="0.3">
      <c r="C9" s="19" t="s">
        <v>435</v>
      </c>
      <c r="D9" s="237"/>
      <c r="E9" s="610"/>
      <c r="F9" s="237"/>
      <c r="G9" s="237">
        <f>+meta3!$Y12</f>
        <v>1</v>
      </c>
      <c r="H9" s="237">
        <f>+meta4!$AK12</f>
        <v>1</v>
      </c>
      <c r="I9" s="237">
        <f>+meta5!$Z12</f>
        <v>0.86087941990743411</v>
      </c>
      <c r="J9" s="237">
        <f>+meta6.1a!$Z12</f>
        <v>1</v>
      </c>
      <c r="K9" s="237">
        <f>+meta6.2!$Z12</f>
        <v>1</v>
      </c>
      <c r="L9" s="237">
        <f>+meta7!$Y12</f>
        <v>1</v>
      </c>
      <c r="M9" s="237">
        <f>+meta8!$Y12</f>
        <v>1</v>
      </c>
      <c r="N9" s="237">
        <f>+meta9!$Z12</f>
        <v>1</v>
      </c>
      <c r="O9" s="237">
        <f>+meta10a!$Z12</f>
        <v>1</v>
      </c>
      <c r="P9" s="237">
        <f>+meta10b!Y12</f>
        <v>1</v>
      </c>
      <c r="Q9" s="237"/>
      <c r="R9" s="237">
        <f>+meta13!$AK12</f>
        <v>1</v>
      </c>
      <c r="S9" s="237">
        <f>+meta14!N12</f>
        <v>1</v>
      </c>
      <c r="T9" s="237">
        <f>+meta15!N12</f>
        <v>1</v>
      </c>
      <c r="U9" s="237">
        <f>+meta16!N12</f>
        <v>1</v>
      </c>
      <c r="V9" s="237">
        <f>+meta17!$Z12</f>
        <v>1</v>
      </c>
      <c r="W9" s="237">
        <f>+meta18!N12</f>
        <v>1</v>
      </c>
      <c r="X9" s="238">
        <f>+CumplimientoPonderado!X9</f>
        <v>0.85856228015291791</v>
      </c>
      <c r="Y9" s="235"/>
      <c r="Z9" s="235"/>
    </row>
    <row r="10" spans="3:26" s="236" customFormat="1" ht="15" customHeight="1" x14ac:dyDescent="0.3">
      <c r="C10" s="19" t="s">
        <v>436</v>
      </c>
      <c r="D10" s="237"/>
      <c r="E10" s="610"/>
      <c r="F10" s="237"/>
      <c r="G10" s="237">
        <f>+meta3!$Y13</f>
        <v>1</v>
      </c>
      <c r="H10" s="237">
        <f>+meta4!$AK13</f>
        <v>0.88909683406745521</v>
      </c>
      <c r="I10" s="237">
        <f>+meta5!$Z13</f>
        <v>0.6353665784213085</v>
      </c>
      <c r="J10" s="237">
        <f>+meta6.1a!$Z13</f>
        <v>1</v>
      </c>
      <c r="K10" s="237">
        <f>+meta6.2!$Z13</f>
        <v>1</v>
      </c>
      <c r="L10" s="237">
        <f>+meta7!$Y13</f>
        <v>1</v>
      </c>
      <c r="M10" s="237">
        <f>+meta8!$Y13</f>
        <v>1</v>
      </c>
      <c r="N10" s="237">
        <f>+meta9!$Z13</f>
        <v>0.7003152896261734</v>
      </c>
      <c r="O10" s="237">
        <f>+meta10a!$Z13</f>
        <v>1</v>
      </c>
      <c r="P10" s="237">
        <f>+meta10b!Y13</f>
        <v>0.54759718396082036</v>
      </c>
      <c r="Q10" s="237"/>
      <c r="R10" s="237">
        <f>+meta13!$AK13</f>
        <v>0.93281208924467662</v>
      </c>
      <c r="S10" s="237">
        <f>+meta14!N13</f>
        <v>1</v>
      </c>
      <c r="T10" s="237">
        <f>+meta15!N13</f>
        <v>1</v>
      </c>
      <c r="U10" s="237">
        <f>+meta16!N13</f>
        <v>1</v>
      </c>
      <c r="V10" s="237">
        <f>+meta17!$Z13</f>
        <v>0.56005398110661275</v>
      </c>
      <c r="W10" s="237">
        <f>+meta18!N13</f>
        <v>1</v>
      </c>
      <c r="X10" s="238">
        <f>+CumplimientoPonderado!X10</f>
        <v>0.78908791381836996</v>
      </c>
      <c r="Y10" s="235"/>
      <c r="Z10" s="235"/>
    </row>
    <row r="11" spans="3:26" s="236" customFormat="1" ht="15" customHeight="1" x14ac:dyDescent="0.3">
      <c r="C11" s="19" t="s">
        <v>437</v>
      </c>
      <c r="D11" s="237"/>
      <c r="E11" s="610"/>
      <c r="F11" s="237"/>
      <c r="G11" s="237">
        <f>+meta3!$Y14</f>
        <v>1</v>
      </c>
      <c r="H11" s="237">
        <f>+meta4!$AK14</f>
        <v>0.91600409037462893</v>
      </c>
      <c r="I11" s="237">
        <f>+meta5!$Z14</f>
        <v>0.48280606887228572</v>
      </c>
      <c r="J11" s="237">
        <f>+meta6.1a!$Z14</f>
        <v>0.85819327695677794</v>
      </c>
      <c r="K11" s="237">
        <f>+meta6.2!$Z14</f>
        <v>1</v>
      </c>
      <c r="L11" s="237">
        <f>+meta7!$Y14</f>
        <v>1</v>
      </c>
      <c r="M11" s="237">
        <f>+meta8!$Y14</f>
        <v>0.88448134146808521</v>
      </c>
      <c r="N11" s="237">
        <f>+meta9!$Z14</f>
        <v>1</v>
      </c>
      <c r="O11" s="237">
        <f>+meta10a!$Z14</f>
        <v>1</v>
      </c>
      <c r="P11" s="237">
        <f>+meta10b!Y14</f>
        <v>1</v>
      </c>
      <c r="Q11" s="237"/>
      <c r="R11" s="237">
        <f>+meta13!$AK14</f>
        <v>1</v>
      </c>
      <c r="S11" s="237">
        <f>+meta14!N14</f>
        <v>0</v>
      </c>
      <c r="T11" s="237">
        <f>+meta15!N14</f>
        <v>1</v>
      </c>
      <c r="U11" s="237">
        <f>+meta16!N14</f>
        <v>1</v>
      </c>
      <c r="V11" s="237">
        <f>+meta17!$Z14</f>
        <v>0.99351729961997981</v>
      </c>
      <c r="W11" s="237">
        <f>+meta18!N14</f>
        <v>1</v>
      </c>
      <c r="X11" s="238">
        <f>+CumplimientoPonderado!X11</f>
        <v>0.75503923947312135</v>
      </c>
      <c r="Y11" s="235"/>
      <c r="Z11" s="235"/>
    </row>
    <row r="12" spans="3:26" s="236" customFormat="1" ht="15" customHeight="1" thickBot="1" x14ac:dyDescent="0.35">
      <c r="C12" s="28" t="s">
        <v>438</v>
      </c>
      <c r="D12" s="763"/>
      <c r="E12" s="764"/>
      <c r="F12" s="763"/>
      <c r="G12" s="763">
        <f>+meta3!$Y15</f>
        <v>1</v>
      </c>
      <c r="H12" s="763">
        <f>+meta4!$AK15</f>
        <v>0.97104552017202272</v>
      </c>
      <c r="I12" s="763">
        <f>+meta5!$Z15</f>
        <v>1</v>
      </c>
      <c r="J12" s="763">
        <f>+meta6.1a!$Z15</f>
        <v>0.52556100052479993</v>
      </c>
      <c r="K12" s="763">
        <f>+meta6.2!$Z15</f>
        <v>0</v>
      </c>
      <c r="L12" s="763">
        <f>+meta7!$Y15</f>
        <v>1</v>
      </c>
      <c r="M12" s="763">
        <f>+meta8!$Y15</f>
        <v>0.54587438710947622</v>
      </c>
      <c r="N12" s="763">
        <f>+meta9!$Z15</f>
        <v>1</v>
      </c>
      <c r="O12" s="763">
        <f>+meta10a!$Z15</f>
        <v>1</v>
      </c>
      <c r="P12" s="763">
        <f>+meta10b!Y15</f>
        <v>0.69690576652601965</v>
      </c>
      <c r="Q12" s="763"/>
      <c r="R12" s="763">
        <f>+meta13!$AK15</f>
        <v>0.58795428655422044</v>
      </c>
      <c r="S12" s="763">
        <f>+meta14!N15</f>
        <v>1</v>
      </c>
      <c r="T12" s="763">
        <f>+meta15!N15</f>
        <v>1</v>
      </c>
      <c r="U12" s="763">
        <f>+meta16!N15</f>
        <v>1</v>
      </c>
      <c r="V12" s="763">
        <f>+meta17!$Z15</f>
        <v>1</v>
      </c>
      <c r="W12" s="763">
        <f>+meta18!N15</f>
        <v>1</v>
      </c>
      <c r="X12" s="765">
        <f>+CumplimientoPonderado!X12</f>
        <v>0.72691640487117126</v>
      </c>
      <c r="Y12" s="235"/>
      <c r="Z12" s="235"/>
    </row>
    <row r="13" spans="3:26" s="236" customFormat="1" ht="15" customHeight="1" thickBot="1" x14ac:dyDescent="0.25">
      <c r="C13" s="766" t="s">
        <v>15</v>
      </c>
      <c r="D13" s="767"/>
      <c r="E13" s="768">
        <f>+meta2.1!$M8</f>
        <v>1</v>
      </c>
      <c r="F13" s="767">
        <f>+meta2.2!$M8</f>
        <v>1</v>
      </c>
      <c r="G13" s="767">
        <f>+meta3!$Y16</f>
        <v>1</v>
      </c>
      <c r="H13" s="767">
        <f>+meta4!$AK16</f>
        <v>0.99735314244557516</v>
      </c>
      <c r="I13" s="767">
        <f>+meta5!$Z16</f>
        <v>0.82800819126101</v>
      </c>
      <c r="J13" s="767">
        <f>+meta6.1a!$Z16</f>
        <v>1</v>
      </c>
      <c r="K13" s="767">
        <f>+meta6.2!$Z16</f>
        <v>0.94729722982511066</v>
      </c>
      <c r="L13" s="767">
        <f>+meta7!$Y16</f>
        <v>1</v>
      </c>
      <c r="M13" s="767">
        <f>+meta8!$Y16</f>
        <v>0.85461710976114269</v>
      </c>
      <c r="N13" s="767">
        <f>+meta9!$Z16</f>
        <v>1</v>
      </c>
      <c r="O13" s="767">
        <f>+meta10a!$Z16</f>
        <v>0</v>
      </c>
      <c r="P13" s="767">
        <f>+meta10b!Y16</f>
        <v>0.88311116007491464</v>
      </c>
      <c r="Q13" s="767">
        <f>+meta12!M8</f>
        <v>1</v>
      </c>
      <c r="R13" s="767">
        <f>+meta13!$AK16</f>
        <v>0.98890217044787065</v>
      </c>
      <c r="S13" s="767">
        <f>+meta14!N16</f>
        <v>1</v>
      </c>
      <c r="T13" s="767">
        <f>+meta15!N16</f>
        <v>0.99003326443915918</v>
      </c>
      <c r="U13" s="767">
        <f>+meta16!N16</f>
        <v>0.9593145780765624</v>
      </c>
      <c r="V13" s="767">
        <f>+meta17!$Z16</f>
        <v>1</v>
      </c>
      <c r="W13" s="767">
        <f>+meta18!N16</f>
        <v>1</v>
      </c>
      <c r="X13" s="769">
        <f>+CumplimientoPonderado!X13</f>
        <v>0.97411972661192203</v>
      </c>
      <c r="Y13" s="235"/>
      <c r="Z13" s="235"/>
    </row>
    <row r="14" spans="3:26" s="236" customFormat="1" ht="12.75" x14ac:dyDescent="0.2">
      <c r="G14" s="608"/>
      <c r="X14" s="235"/>
    </row>
    <row r="15" spans="3:26" x14ac:dyDescent="0.25">
      <c r="G15" s="237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9" customWidth="1"/>
    <col min="3" max="3" width="45.140625" style="239" bestFit="1" customWidth="1"/>
    <col min="4" max="4" width="10.140625" style="239" hidden="1" customWidth="1"/>
    <col min="5" max="5" width="10.140625" style="239" customWidth="1"/>
    <col min="6" max="6" width="10.42578125" style="239" customWidth="1"/>
    <col min="7" max="7" width="9.140625" style="239" customWidth="1"/>
    <col min="8" max="8" width="10.42578125" style="239" customWidth="1"/>
    <col min="9" max="9" width="10" style="239" customWidth="1"/>
    <col min="10" max="10" width="11.28515625" style="239" customWidth="1"/>
    <col min="11" max="11" width="11.140625" style="239" customWidth="1"/>
    <col min="12" max="12" width="13.42578125" style="239" customWidth="1"/>
    <col min="13" max="13" width="11.5703125" style="239" customWidth="1"/>
    <col min="14" max="14" width="12.85546875" style="239" customWidth="1"/>
    <col min="15" max="15" width="12.140625" style="239" customWidth="1"/>
    <col min="16" max="21" width="12.42578125" style="239" customWidth="1"/>
    <col min="22" max="23" width="13.140625" style="239" customWidth="1"/>
    <col min="24" max="24" width="13.140625" style="240" customWidth="1"/>
    <col min="25" max="16384" width="11.42578125" style="239"/>
  </cols>
  <sheetData>
    <row r="1" spans="3:27" s="223" customFormat="1" ht="28.5" customHeight="1" thickBot="1" x14ac:dyDescent="0.5">
      <c r="C1" s="961" t="s">
        <v>0</v>
      </c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222"/>
      <c r="Q1" s="222"/>
      <c r="S1" s="222" t="str">
        <f>+NOMBRE!B7</f>
        <v>ENERO - JULIO 2024</v>
      </c>
      <c r="T1" s="222"/>
      <c r="U1" s="222"/>
      <c r="V1" s="222"/>
      <c r="W1" s="222"/>
      <c r="X1" s="222"/>
    </row>
    <row r="2" spans="3:27" s="225" customFormat="1" ht="18" customHeight="1" thickBot="1" x14ac:dyDescent="0.35">
      <c r="C2" s="962"/>
      <c r="D2" s="224"/>
      <c r="E2" s="965" t="s">
        <v>177</v>
      </c>
      <c r="F2" s="965"/>
      <c r="G2" s="965"/>
      <c r="H2" s="965"/>
      <c r="I2" s="965"/>
      <c r="J2" s="965"/>
      <c r="K2" s="965"/>
      <c r="L2" s="965"/>
      <c r="M2" s="965"/>
      <c r="N2" s="965"/>
      <c r="O2" s="965"/>
      <c r="P2" s="965"/>
      <c r="Q2" s="965"/>
      <c r="R2" s="965"/>
      <c r="S2" s="965"/>
      <c r="T2" s="965"/>
      <c r="U2" s="965"/>
      <c r="V2" s="965"/>
      <c r="W2" s="980"/>
      <c r="X2" s="966" t="s">
        <v>138</v>
      </c>
    </row>
    <row r="3" spans="3:27" s="232" customFormat="1" ht="16.5" customHeight="1" thickBot="1" x14ac:dyDescent="0.35">
      <c r="C3" s="963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41" t="s">
        <v>158</v>
      </c>
      <c r="X3" s="967"/>
    </row>
    <row r="4" spans="3:27" s="232" customFormat="1" ht="15" customHeight="1" x14ac:dyDescent="0.3">
      <c r="C4" s="963"/>
      <c r="D4" s="969"/>
      <c r="E4" s="971" t="s">
        <v>178</v>
      </c>
      <c r="F4" s="959" t="s">
        <v>160</v>
      </c>
      <c r="G4" s="959" t="s">
        <v>161</v>
      </c>
      <c r="H4" s="959" t="s">
        <v>162</v>
      </c>
      <c r="I4" s="974" t="s">
        <v>163</v>
      </c>
      <c r="J4" s="959" t="s">
        <v>179</v>
      </c>
      <c r="K4" s="959" t="s">
        <v>180</v>
      </c>
      <c r="L4" s="959" t="s">
        <v>181</v>
      </c>
      <c r="M4" s="975" t="s">
        <v>167</v>
      </c>
      <c r="N4" s="959" t="s">
        <v>182</v>
      </c>
      <c r="O4" s="959" t="s">
        <v>183</v>
      </c>
      <c r="P4" s="959" t="s">
        <v>183</v>
      </c>
      <c r="Q4" s="983" t="s">
        <v>184</v>
      </c>
      <c r="R4" s="959" t="s">
        <v>171</v>
      </c>
      <c r="S4" s="978" t="s">
        <v>172</v>
      </c>
      <c r="T4" s="959" t="s">
        <v>173</v>
      </c>
      <c r="U4" s="959" t="s">
        <v>174</v>
      </c>
      <c r="V4" s="959" t="s">
        <v>175</v>
      </c>
      <c r="W4" s="976" t="s">
        <v>176</v>
      </c>
      <c r="X4" s="967"/>
    </row>
    <row r="5" spans="3:27" s="232" customFormat="1" ht="87.75" customHeight="1" thickBot="1" x14ac:dyDescent="0.35">
      <c r="C5" s="964"/>
      <c r="D5" s="970"/>
      <c r="E5" s="981"/>
      <c r="F5" s="982"/>
      <c r="G5" s="982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60"/>
      <c r="T5" s="960"/>
      <c r="U5" s="960"/>
      <c r="V5" s="960"/>
      <c r="W5" s="977"/>
      <c r="X5" s="968"/>
    </row>
    <row r="6" spans="3:27" ht="15" customHeight="1" x14ac:dyDescent="0.25">
      <c r="C6" s="607" t="s">
        <v>432</v>
      </c>
      <c r="D6" s="242"/>
      <c r="E6" s="242"/>
      <c r="F6" s="242"/>
      <c r="G6" s="242">
        <f>+meta3!$Z9</f>
        <v>5.4569191866796742E-2</v>
      </c>
      <c r="H6" s="242">
        <f>+meta4!$AL9</f>
        <v>5.4900000000000004E-2</v>
      </c>
      <c r="I6" s="242">
        <f>+meta5!$AA9</f>
        <v>5.3065816702969434E-2</v>
      </c>
      <c r="J6" s="242">
        <f>+meta6.1a!$AA9</f>
        <v>2.4118841829976919E-2</v>
      </c>
      <c r="K6" s="242">
        <f>+meta6.2!$AA9</f>
        <v>5.6300033158502273E-2</v>
      </c>
      <c r="L6" s="242">
        <f>+meta7!$Z9</f>
        <v>5.4900000000000004E-2</v>
      </c>
      <c r="M6" s="242">
        <f>+meta8!$Z9</f>
        <v>4.5882940057455572E-2</v>
      </c>
      <c r="N6" s="242">
        <f>+meta9!$AA9</f>
        <v>5.4633322814801481E-2</v>
      </c>
      <c r="O6" s="242">
        <f>+meta10a!AA9</f>
        <v>5.2699999999999997E-2</v>
      </c>
      <c r="P6" s="242">
        <f>+meta10b!Z9</f>
        <v>1.1000000000000001E-2</v>
      </c>
      <c r="Q6" s="243"/>
      <c r="R6" s="242">
        <f>+meta13!$AL9</f>
        <v>6.59E-2</v>
      </c>
      <c r="S6" s="243">
        <f>+meta14!O9</f>
        <v>6.0226412142250475E-2</v>
      </c>
      <c r="T6" s="243">
        <f>+meta15!O9</f>
        <v>5.9097720684303898E-2</v>
      </c>
      <c r="U6" s="243">
        <f>+meta16!O9</f>
        <v>5.542211999938508E-2</v>
      </c>
      <c r="V6" s="242">
        <f>+meta17!$AA9</f>
        <v>5.4900000000000004E-2</v>
      </c>
      <c r="W6" s="244">
        <f>+meta18!O9</f>
        <v>4.1700000000000001E-2</v>
      </c>
      <c r="X6" s="245">
        <f>SUM(D6:W6)</f>
        <v>0.79931639925644171</v>
      </c>
      <c r="Z6" s="240"/>
      <c r="AA6" s="240"/>
    </row>
    <row r="7" spans="3:27" ht="15" customHeight="1" x14ac:dyDescent="0.25">
      <c r="C7" s="607" t="s">
        <v>433</v>
      </c>
      <c r="D7" s="246"/>
      <c r="E7" s="246"/>
      <c r="F7" s="246"/>
      <c r="G7" s="246">
        <f>+meta3!$Z9</f>
        <v>5.4569191866796742E-2</v>
      </c>
      <c r="H7" s="246">
        <f>+meta4!$AL10</f>
        <v>5.4900000000000004E-2</v>
      </c>
      <c r="I7" s="246">
        <f>+meta5!$AA10</f>
        <v>2.4626266982963121E-2</v>
      </c>
      <c r="J7" s="246">
        <f>+meta6.1a!$AA10</f>
        <v>3.3000000000000002E-2</v>
      </c>
      <c r="K7" s="246">
        <f>+meta6.2!$AA10</f>
        <v>5.2796496762014006E-2</v>
      </c>
      <c r="L7" s="246">
        <f>+meta7!$Z10</f>
        <v>5.4900000000000004E-2</v>
      </c>
      <c r="M7" s="246">
        <f>+meta8!$Z10</f>
        <v>6.1441667281083336E-2</v>
      </c>
      <c r="N7" s="246">
        <f>+meta9!$AA10</f>
        <v>4.4344410031994394E-2</v>
      </c>
      <c r="O7" s="246">
        <f>+meta10a!AA10</f>
        <v>5.2699999999999997E-2</v>
      </c>
      <c r="P7" s="246">
        <f>+meta10b!Z10</f>
        <v>1.32E-2</v>
      </c>
      <c r="Q7" s="246"/>
      <c r="R7" s="246">
        <f>+meta13!$AL10</f>
        <v>6.59E-2</v>
      </c>
      <c r="S7" s="246">
        <f>+meta14!O10</f>
        <v>6.59E-2</v>
      </c>
      <c r="T7" s="246">
        <f>+meta15!O10</f>
        <v>6.59E-2</v>
      </c>
      <c r="U7" s="246">
        <f>+meta16!O10</f>
        <v>6.4702054662901409E-2</v>
      </c>
      <c r="V7" s="246">
        <f>+meta17!$AA10</f>
        <v>5.4900000000000004E-2</v>
      </c>
      <c r="W7" s="244">
        <f>+meta18!O10</f>
        <v>4.1700000000000001E-2</v>
      </c>
      <c r="X7" s="247">
        <f t="shared" ref="X7:X13" si="0">SUM(D7:W7)</f>
        <v>0.80548008758775291</v>
      </c>
      <c r="Z7" s="240"/>
      <c r="AA7" s="240"/>
    </row>
    <row r="8" spans="3:27" ht="15" customHeight="1" x14ac:dyDescent="0.25">
      <c r="C8" s="607" t="s">
        <v>434</v>
      </c>
      <c r="D8" s="246"/>
      <c r="E8" s="246"/>
      <c r="F8" s="246"/>
      <c r="G8" s="246">
        <f>+meta3!$Z10</f>
        <v>6.0578558934176782E-2</v>
      </c>
      <c r="H8" s="246">
        <f>+meta4!$AL11</f>
        <v>5.2721853953096677E-2</v>
      </c>
      <c r="I8" s="246">
        <f>+meta5!$AA11</f>
        <v>3.686417322834646E-2</v>
      </c>
      <c r="J8" s="246">
        <f>+meta6.1a!$AA11</f>
        <v>3.3000000000000002E-2</v>
      </c>
      <c r="K8" s="246">
        <f>+meta6.2!$AA11</f>
        <v>6.25E-2</v>
      </c>
      <c r="L8" s="246">
        <f>+meta7!$Z11</f>
        <v>5.4900000000000004E-2</v>
      </c>
      <c r="M8" s="246">
        <f>+meta8!$Z11</f>
        <v>4.153256152823815E-2</v>
      </c>
      <c r="N8" s="246">
        <f>+meta9!$AA11</f>
        <v>4.4782493770012824E-2</v>
      </c>
      <c r="O8" s="246">
        <f>+meta10a!AA11</f>
        <v>5.2699999999999997E-2</v>
      </c>
      <c r="P8" s="246">
        <f>+meta10b!Z11</f>
        <v>1.32E-2</v>
      </c>
      <c r="Q8" s="154"/>
      <c r="R8" s="246">
        <f>+meta13!$AL11</f>
        <v>6.2578929042722373E-2</v>
      </c>
      <c r="S8" s="246">
        <f>+meta14!O11</f>
        <v>6.59E-2</v>
      </c>
      <c r="T8" s="246">
        <f>+meta15!O11</f>
        <v>5.1006490159140723E-2</v>
      </c>
      <c r="U8" s="246">
        <f>+meta16!O11</f>
        <v>5.2654448713795682E-2</v>
      </c>
      <c r="V8" s="246">
        <f>+meta17!$AA11</f>
        <v>4.2176994906621398E-2</v>
      </c>
      <c r="W8" s="244">
        <f>+meta18!O11</f>
        <v>4.1700000000000001E-2</v>
      </c>
      <c r="X8" s="247">
        <f t="shared" si="0"/>
        <v>0.76879650423615087</v>
      </c>
      <c r="Z8" s="240"/>
      <c r="AA8" s="240"/>
    </row>
    <row r="9" spans="3:27" ht="15" customHeight="1" x14ac:dyDescent="0.25">
      <c r="C9" s="607" t="s">
        <v>435</v>
      </c>
      <c r="D9" s="246"/>
      <c r="E9" s="246"/>
      <c r="F9" s="246"/>
      <c r="G9" s="246">
        <f>+meta3!$Z11</f>
        <v>6.25E-2</v>
      </c>
      <c r="H9" s="246">
        <f>+meta4!$AL12</f>
        <v>5.4900000000000004E-2</v>
      </c>
      <c r="I9" s="246">
        <f>+meta5!$AA12</f>
        <v>4.7262280152918133E-2</v>
      </c>
      <c r="J9" s="246">
        <f>+meta6.1a!$AA12</f>
        <v>3.3000000000000002E-2</v>
      </c>
      <c r="K9" s="246">
        <f>+meta6.2!$AA12</f>
        <v>6.25E-2</v>
      </c>
      <c r="L9" s="246">
        <f>+meta7!$Z12</f>
        <v>5.4900000000000004E-2</v>
      </c>
      <c r="M9" s="246">
        <f>+meta8!$Z12</f>
        <v>6.25E-2</v>
      </c>
      <c r="N9" s="246">
        <f>+meta9!$AA12</f>
        <v>5.4900000000000004E-2</v>
      </c>
      <c r="O9" s="246">
        <f>+meta10a!AA12</f>
        <v>5.2699999999999997E-2</v>
      </c>
      <c r="P9" s="246">
        <f>+meta10b!Z12</f>
        <v>1.32E-2</v>
      </c>
      <c r="Q9" s="154"/>
      <c r="R9" s="246">
        <f>+meta13!$AL12</f>
        <v>6.59E-2</v>
      </c>
      <c r="S9" s="246">
        <f>+meta14!O12</f>
        <v>6.59E-2</v>
      </c>
      <c r="T9" s="246">
        <f>+meta15!O12</f>
        <v>6.59E-2</v>
      </c>
      <c r="U9" s="246">
        <f>+meta16!O12</f>
        <v>6.59E-2</v>
      </c>
      <c r="V9" s="246">
        <f>+meta17!$AA12</f>
        <v>5.4900000000000004E-2</v>
      </c>
      <c r="W9" s="244">
        <f>+meta18!O12</f>
        <v>4.1700000000000001E-2</v>
      </c>
      <c r="X9" s="247">
        <f t="shared" si="0"/>
        <v>0.85856228015291791</v>
      </c>
      <c r="Z9" s="240"/>
      <c r="AA9" s="240"/>
    </row>
    <row r="10" spans="3:27" ht="15" customHeight="1" x14ac:dyDescent="0.25">
      <c r="C10" s="607" t="s">
        <v>436</v>
      </c>
      <c r="D10" s="246"/>
      <c r="E10" s="246"/>
      <c r="F10" s="246"/>
      <c r="G10" s="246">
        <f>+meta3!$Z12</f>
        <v>6.25E-2</v>
      </c>
      <c r="H10" s="246">
        <f>+meta4!$AL13</f>
        <v>4.8811416190303297E-2</v>
      </c>
      <c r="I10" s="246">
        <f>+meta5!$AA13</f>
        <v>3.4881625155329839E-2</v>
      </c>
      <c r="J10" s="246">
        <f>+meta6.1a!$AA13</f>
        <v>3.3000000000000002E-2</v>
      </c>
      <c r="K10" s="246">
        <f>+meta6.2!$AA13</f>
        <v>6.25E-2</v>
      </c>
      <c r="L10" s="246">
        <f>+meta7!$Z13</f>
        <v>5.4900000000000004E-2</v>
      </c>
      <c r="M10" s="246">
        <f>+meta8!$Z13</f>
        <v>6.25E-2</v>
      </c>
      <c r="N10" s="246">
        <f>+meta9!$AA13</f>
        <v>3.8447309400476921E-2</v>
      </c>
      <c r="O10" s="246">
        <f>+meta10a!AA13</f>
        <v>5.2699999999999997E-2</v>
      </c>
      <c r="P10" s="246">
        <f>+meta10b!Z13</f>
        <v>7.2282828282828294E-3</v>
      </c>
      <c r="Q10" s="154"/>
      <c r="R10" s="246">
        <f>+meta13!$AL13</f>
        <v>6.1472316681224187E-2</v>
      </c>
      <c r="S10" s="246">
        <f>+meta14!O13</f>
        <v>6.59E-2</v>
      </c>
      <c r="T10" s="246">
        <f>+meta15!O13</f>
        <v>6.59E-2</v>
      </c>
      <c r="U10" s="246">
        <f>+meta16!O13</f>
        <v>6.59E-2</v>
      </c>
      <c r="V10" s="246">
        <f>+meta17!$AA13</f>
        <v>3.0746963562753041E-2</v>
      </c>
      <c r="W10" s="244">
        <f>+meta18!O13</f>
        <v>4.1700000000000001E-2</v>
      </c>
      <c r="X10" s="247">
        <f t="shared" si="0"/>
        <v>0.78908791381836996</v>
      </c>
      <c r="Z10" s="240"/>
      <c r="AA10" s="240"/>
    </row>
    <row r="11" spans="3:27" ht="15" customHeight="1" x14ac:dyDescent="0.25">
      <c r="C11" s="607" t="s">
        <v>437</v>
      </c>
      <c r="D11" s="246"/>
      <c r="E11" s="246"/>
      <c r="F11" s="246"/>
      <c r="G11" s="246">
        <f>+meta3!$Z13</f>
        <v>6.25E-2</v>
      </c>
      <c r="H11" s="246">
        <f>+meta4!$AL14</f>
        <v>5.0288624561567137E-2</v>
      </c>
      <c r="I11" s="246">
        <f>+meta5!$AA14</f>
        <v>2.6506053181088486E-2</v>
      </c>
      <c r="J11" s="246">
        <f>+meta6.1a!$AA14</f>
        <v>2.8320378139573669E-2</v>
      </c>
      <c r="K11" s="246">
        <f>+meta6.2!$AA14</f>
        <v>6.25E-2</v>
      </c>
      <c r="L11" s="246">
        <f>+meta7!$Z14</f>
        <v>5.4900000000000004E-2</v>
      </c>
      <c r="M11" s="246">
        <f>+meta8!$Z14</f>
        <v>5.5280083841755333E-2</v>
      </c>
      <c r="N11" s="246">
        <f>+meta9!$AA14</f>
        <v>5.4900000000000004E-2</v>
      </c>
      <c r="O11" s="246">
        <f>+meta10a!AA14</f>
        <v>5.2699999999999997E-2</v>
      </c>
      <c r="P11" s="246">
        <f>+meta10b!Z14</f>
        <v>1.32E-2</v>
      </c>
      <c r="Q11" s="154"/>
      <c r="R11" s="246">
        <f>+meta13!$AL14</f>
        <v>6.59E-2</v>
      </c>
      <c r="S11" s="246">
        <f>+meta14!O14</f>
        <v>0</v>
      </c>
      <c r="T11" s="246">
        <f>+meta15!O14</f>
        <v>6.59E-2</v>
      </c>
      <c r="U11" s="246">
        <f>+meta16!O14</f>
        <v>6.59E-2</v>
      </c>
      <c r="V11" s="246">
        <f>+meta17!$AA14</f>
        <v>5.4544099749136897E-2</v>
      </c>
      <c r="W11" s="244">
        <f>+meta18!O14</f>
        <v>4.1700000000000001E-2</v>
      </c>
      <c r="X11" s="247">
        <f t="shared" si="0"/>
        <v>0.75503923947312135</v>
      </c>
      <c r="Z11" s="240"/>
      <c r="AA11" s="240"/>
    </row>
    <row r="12" spans="3:27" ht="15" customHeight="1" thickBot="1" x14ac:dyDescent="0.3">
      <c r="C12" s="770" t="s">
        <v>438</v>
      </c>
      <c r="D12" s="771"/>
      <c r="E12" s="771"/>
      <c r="F12" s="771"/>
      <c r="G12" s="771">
        <f>+meta3!$Z14</f>
        <v>6.25E-2</v>
      </c>
      <c r="H12" s="771">
        <f>+meta4!$AL15</f>
        <v>5.3310399057444051E-2</v>
      </c>
      <c r="I12" s="771">
        <f>+meta5!$AA15</f>
        <v>5.4900000000000004E-2</v>
      </c>
      <c r="J12" s="771">
        <f>+meta6.1a!$AA15</f>
        <v>1.7343513017318398E-2</v>
      </c>
      <c r="K12" s="771">
        <f>+meta6.2!$AA15</f>
        <v>0</v>
      </c>
      <c r="L12" s="771">
        <f>+meta7!$Z15</f>
        <v>5.4900000000000004E-2</v>
      </c>
      <c r="M12" s="771">
        <f>+meta8!$Z15</f>
        <v>3.4117149194342264E-2</v>
      </c>
      <c r="N12" s="771">
        <f>+meta9!$AA15</f>
        <v>5.4900000000000004E-2</v>
      </c>
      <c r="O12" s="771">
        <f>+meta10a!AA15</f>
        <v>5.2699999999999997E-2</v>
      </c>
      <c r="P12" s="771">
        <f>+meta10b!Z15</f>
        <v>9.1991561181434603E-3</v>
      </c>
      <c r="Q12" s="154"/>
      <c r="R12" s="771">
        <f>+meta13!$AL15</f>
        <v>3.8746187483923125E-2</v>
      </c>
      <c r="S12" s="771">
        <f>+meta14!O15</f>
        <v>6.59E-2</v>
      </c>
      <c r="T12" s="771">
        <f>+meta15!O15</f>
        <v>6.59E-2</v>
      </c>
      <c r="U12" s="771">
        <f>+meta16!O15</f>
        <v>6.59E-2</v>
      </c>
      <c r="V12" s="771">
        <f>+meta17!$AA15</f>
        <v>5.4900000000000004E-2</v>
      </c>
      <c r="W12" s="772">
        <f>+meta18!O15</f>
        <v>4.1700000000000001E-2</v>
      </c>
      <c r="X12" s="773">
        <f t="shared" si="0"/>
        <v>0.72691640487117126</v>
      </c>
      <c r="Z12" s="240"/>
      <c r="AA12" s="240"/>
    </row>
    <row r="13" spans="3:27" ht="15" customHeight="1" thickBot="1" x14ac:dyDescent="0.3">
      <c r="C13" s="774" t="s">
        <v>15</v>
      </c>
      <c r="D13" s="775"/>
      <c r="E13" s="775">
        <f>+meta2.1!$N8</f>
        <v>4.1700000000000001E-2</v>
      </c>
      <c r="F13" s="775">
        <f>+meta2.2!$N8</f>
        <v>4.1700000000000001E-2</v>
      </c>
      <c r="G13" s="775">
        <f>+meta3!$Z16</f>
        <v>6.25E-2</v>
      </c>
      <c r="H13" s="775">
        <f>+meta4!$AL16</f>
        <v>5.475468752026208E-2</v>
      </c>
      <c r="I13" s="775">
        <f>+meta5!$AA16</f>
        <v>4.5457649700229447E-2</v>
      </c>
      <c r="J13" s="775">
        <f>+meta6.1a!$AA16</f>
        <v>3.3000000000000002E-2</v>
      </c>
      <c r="K13" s="775">
        <f>+meta6.2!$AA16</f>
        <v>5.9206076864069417E-2</v>
      </c>
      <c r="L13" s="775">
        <f>+meta7!$Z16</f>
        <v>5.4900000000000004E-2</v>
      </c>
      <c r="M13" s="775">
        <f>+meta8!$Z16</f>
        <v>5.3413569360071425E-2</v>
      </c>
      <c r="N13" s="775">
        <f>+meta9!$AA16</f>
        <v>5.4900000000000004E-2</v>
      </c>
      <c r="O13" s="775">
        <f>+meta10a!AA17</f>
        <v>5.2699999999999997E-2</v>
      </c>
      <c r="P13" s="775">
        <f>+meta10b!Z16</f>
        <v>1.1657067312988873E-2</v>
      </c>
      <c r="Q13" s="776">
        <f>+meta12!N8</f>
        <v>5.21E-2</v>
      </c>
      <c r="R13" s="775">
        <f>+meta13!$AL16</f>
        <v>6.5168653032514678E-2</v>
      </c>
      <c r="S13" s="775">
        <f>+meta14!O16</f>
        <v>6.59E-2</v>
      </c>
      <c r="T13" s="775">
        <f>+meta15!O16</f>
        <v>6.5243192126540589E-2</v>
      </c>
      <c r="U13" s="775">
        <f>+meta16!O16</f>
        <v>6.3218830695245462E-2</v>
      </c>
      <c r="V13" s="775">
        <f>+meta17!$AA16</f>
        <v>5.4900000000000004E-2</v>
      </c>
      <c r="W13" s="777">
        <f>+meta18!O16</f>
        <v>4.1700000000000001E-2</v>
      </c>
      <c r="X13" s="778">
        <f t="shared" si="0"/>
        <v>0.97411972661192203</v>
      </c>
      <c r="Z13" s="240"/>
      <c r="AA13" s="240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Y23" sqref="Y23"/>
    </sheetView>
  </sheetViews>
  <sheetFormatPr baseColWidth="10" defaultColWidth="0" defaultRowHeight="12.75" x14ac:dyDescent="0.2"/>
  <cols>
    <col min="1" max="1" width="3.140625" style="248" customWidth="1"/>
    <col min="2" max="2" width="7.140625" style="248" customWidth="1"/>
    <col min="3" max="3" width="29.28515625" style="248" customWidth="1"/>
    <col min="4" max="4" width="1.28515625" style="248" customWidth="1"/>
    <col min="5" max="5" width="3.85546875" style="249" bestFit="1" customWidth="1"/>
    <col min="6" max="10" width="5.7109375" style="249" bestFit="1" customWidth="1"/>
    <col min="11" max="11" width="5.5703125" style="249" bestFit="1" customWidth="1"/>
    <col min="12" max="16" width="4.7109375" style="249" bestFit="1" customWidth="1"/>
    <col min="17" max="17" width="6.85546875" style="249" bestFit="1" customWidth="1"/>
    <col min="18" max="34" width="6.85546875" style="249" customWidth="1"/>
    <col min="35" max="35" width="2.140625" style="249" bestFit="1" customWidth="1"/>
    <col min="36" max="37" width="2.140625" style="249" customWidth="1"/>
    <col min="38" max="42" width="5.7109375" style="249" bestFit="1" customWidth="1"/>
    <col min="43" max="43" width="5" style="249" bestFit="1" customWidth="1"/>
    <col min="44" max="44" width="5.7109375" style="249" bestFit="1" customWidth="1"/>
    <col min="45" max="45" width="5" style="249" bestFit="1" customWidth="1"/>
    <col min="46" max="46" width="4.42578125" style="249" bestFit="1" customWidth="1"/>
    <col min="47" max="49" width="5" style="249" bestFit="1" customWidth="1"/>
    <col min="50" max="50" width="6.85546875" style="249" bestFit="1" customWidth="1"/>
    <col min="51" max="51" width="2.140625" style="249" bestFit="1" customWidth="1"/>
    <col min="52" max="57" width="4.5703125" style="249" bestFit="1" customWidth="1"/>
    <col min="58" max="63" width="4.42578125" style="249" bestFit="1" customWidth="1"/>
    <col min="64" max="64" width="5.7109375" style="249" bestFit="1" customWidth="1"/>
    <col min="65" max="65" width="3.42578125" style="249" customWidth="1"/>
    <col min="66" max="71" width="4.5703125" style="249" bestFit="1" customWidth="1"/>
    <col min="72" max="77" width="4.42578125" style="249" bestFit="1" customWidth="1"/>
    <col min="78" max="78" width="5.7109375" style="249" bestFit="1" customWidth="1"/>
    <col min="80" max="80" width="4.5703125" style="249" bestFit="1" customWidth="1"/>
    <col min="81" max="81" width="4.7109375" style="249" bestFit="1" customWidth="1"/>
    <col min="82" max="91" width="4.85546875" style="249" customWidth="1"/>
    <col min="92" max="92" width="5.7109375" style="249" customWidth="1"/>
    <col min="93" max="93" width="1.42578125" style="250" customWidth="1"/>
    <col min="94" max="99" width="5.7109375" style="249" bestFit="1" customWidth="1"/>
    <col min="100" max="101" width="6.42578125" style="249" customWidth="1"/>
    <col min="102" max="102" width="5.140625" style="249" bestFit="1" customWidth="1"/>
    <col min="103" max="103" width="4" style="249" bestFit="1" customWidth="1"/>
    <col min="104" max="105" width="5.5703125" style="249" bestFit="1" customWidth="1"/>
    <col min="106" max="106" width="6.85546875" style="249" bestFit="1" customWidth="1"/>
    <col min="107" max="108" width="4.7109375" style="249" bestFit="1" customWidth="1"/>
    <col min="109" max="109" width="4.7109375" style="249" customWidth="1"/>
    <col min="110" max="110" width="5.28515625" style="249" customWidth="1"/>
    <col min="111" max="112" width="4.42578125" style="249" customWidth="1"/>
    <col min="113" max="113" width="5.7109375" style="249" bestFit="1" customWidth="1"/>
    <col min="114" max="114" width="4.42578125" style="249" customWidth="1"/>
    <col min="115" max="115" width="4.7109375" style="249" bestFit="1" customWidth="1"/>
    <col min="116" max="117" width="4.42578125" style="249" customWidth="1"/>
    <col min="118" max="118" width="4.7109375" style="249" bestFit="1" customWidth="1"/>
    <col min="119" max="119" width="7.28515625" style="249" customWidth="1"/>
    <col min="120" max="213" width="11.42578125" customWidth="1"/>
    <col min="214" max="218" width="1.28515625" style="249" hidden="1" customWidth="1"/>
    <col min="219" max="227" width="0" style="249" hidden="1" customWidth="1"/>
    <col min="228" max="232" width="1.28515625" style="249" hidden="1" customWidth="1"/>
    <col min="233" max="242" width="0" style="249" hidden="1" customWidth="1"/>
    <col min="243" max="247" width="1.28515625" style="249" hidden="1" customWidth="1"/>
    <col min="248" max="257" width="0" style="249" hidden="1" customWidth="1"/>
    <col min="258" max="261" width="1.28515625" style="249" hidden="1" customWidth="1"/>
    <col min="262" max="271" width="0" style="249" hidden="1" customWidth="1"/>
    <col min="272" max="16384" width="1.28515625" style="249" hidden="1"/>
  </cols>
  <sheetData>
    <row r="1" spans="2:214" ht="15.75" customHeight="1" x14ac:dyDescent="0.2">
      <c r="CP1" s="251"/>
      <c r="CQ1" s="251"/>
      <c r="CR1" s="251"/>
      <c r="CS1" s="251"/>
      <c r="CT1" s="251"/>
      <c r="CU1" s="251"/>
    </row>
    <row r="2" spans="2:214" ht="84.75" customHeight="1" x14ac:dyDescent="0.3">
      <c r="C2" s="252" t="str">
        <f>+NOMBRE!B7</f>
        <v>ENERO - JULIO 2024</v>
      </c>
      <c r="E2" s="985" t="s">
        <v>528</v>
      </c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732"/>
      <c r="S2" s="985" t="s">
        <v>529</v>
      </c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7"/>
      <c r="AF2" s="732"/>
      <c r="AG2" s="732"/>
      <c r="AH2" s="732"/>
      <c r="AI2" s="253"/>
      <c r="AJ2" s="253"/>
      <c r="AK2" s="253"/>
      <c r="AL2" s="985" t="s">
        <v>185</v>
      </c>
      <c r="AM2" s="986"/>
      <c r="AN2" s="986"/>
      <c r="AO2" s="986"/>
      <c r="AP2" s="986"/>
      <c r="AQ2" s="986"/>
      <c r="AR2" s="986"/>
      <c r="AS2" s="986"/>
      <c r="AT2" s="986"/>
      <c r="AU2" s="986"/>
      <c r="AV2" s="986"/>
      <c r="AW2" s="986"/>
      <c r="AX2" s="987"/>
      <c r="AY2" s="253"/>
      <c r="AZ2" s="985" t="s">
        <v>186</v>
      </c>
      <c r="BA2" s="986"/>
      <c r="BB2" s="986"/>
      <c r="BC2" s="986"/>
      <c r="BD2" s="986"/>
      <c r="BE2" s="986"/>
      <c r="BF2" s="986"/>
      <c r="BG2" s="986"/>
      <c r="BH2" s="986"/>
      <c r="BI2" s="986"/>
      <c r="BJ2" s="986"/>
      <c r="BK2" s="986"/>
      <c r="BL2" s="987"/>
      <c r="BM2" s="253"/>
      <c r="BN2" s="985" t="s">
        <v>187</v>
      </c>
      <c r="BO2" s="986"/>
      <c r="BP2" s="986"/>
      <c r="BQ2" s="986"/>
      <c r="BR2" s="986"/>
      <c r="BS2" s="986"/>
      <c r="BT2" s="986"/>
      <c r="BU2" s="986"/>
      <c r="BV2" s="986"/>
      <c r="BW2" s="986"/>
      <c r="BX2" s="986"/>
      <c r="BY2" s="986"/>
      <c r="BZ2" s="987"/>
      <c r="CB2" s="985" t="s">
        <v>443</v>
      </c>
      <c r="CC2" s="986"/>
      <c r="CD2" s="986"/>
      <c r="CE2" s="986"/>
      <c r="CF2" s="986"/>
      <c r="CG2" s="986"/>
      <c r="CH2" s="986"/>
      <c r="CI2" s="986"/>
      <c r="CJ2" s="986"/>
      <c r="CK2" s="986"/>
      <c r="CL2" s="986"/>
      <c r="CM2" s="986"/>
      <c r="CN2" s="987"/>
      <c r="CO2" s="253"/>
      <c r="CP2" s="985" t="s">
        <v>444</v>
      </c>
      <c r="CQ2" s="986"/>
      <c r="CR2" s="986"/>
      <c r="CS2" s="986"/>
      <c r="CT2" s="986"/>
      <c r="CU2" s="986"/>
      <c r="CV2" s="986"/>
      <c r="CW2" s="986"/>
      <c r="CX2" s="986"/>
      <c r="CY2" s="986"/>
      <c r="CZ2" s="986"/>
      <c r="DA2" s="986"/>
      <c r="DB2" s="987"/>
      <c r="DC2" s="985" t="s">
        <v>445</v>
      </c>
      <c r="DD2" s="986"/>
      <c r="DE2" s="986"/>
      <c r="DF2" s="986"/>
      <c r="DG2" s="986"/>
      <c r="DH2" s="986"/>
      <c r="DI2" s="986"/>
      <c r="DJ2" s="986"/>
      <c r="DK2" s="986"/>
      <c r="DL2" s="986"/>
      <c r="DM2" s="986"/>
      <c r="DN2" s="986"/>
      <c r="DO2" s="987"/>
      <c r="HF2" s="254"/>
    </row>
    <row r="3" spans="2:214" ht="6.75" customHeight="1" x14ac:dyDescent="0.2"/>
    <row r="4" spans="2:214" s="255" customFormat="1" ht="12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733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733"/>
      <c r="AG4" s="733"/>
      <c r="AH4" s="733"/>
      <c r="AI4" s="256"/>
      <c r="AJ4" s="256"/>
      <c r="AK4" s="256"/>
      <c r="AL4" s="984" t="s">
        <v>188</v>
      </c>
      <c r="AM4" s="984"/>
      <c r="AN4" s="984"/>
      <c r="AO4" s="984"/>
      <c r="AP4" s="984"/>
      <c r="AQ4" s="984"/>
      <c r="AR4" s="984"/>
      <c r="AS4" s="984"/>
      <c r="AT4" s="984"/>
      <c r="AU4" s="984"/>
      <c r="AV4" s="984"/>
      <c r="AW4" s="984"/>
      <c r="AX4" s="984"/>
      <c r="AY4" s="256"/>
      <c r="AZ4" s="984" t="s">
        <v>188</v>
      </c>
      <c r="BA4" s="984"/>
      <c r="BB4" s="984"/>
      <c r="BC4" s="984"/>
      <c r="BD4" s="984"/>
      <c r="BE4" s="984"/>
      <c r="BF4" s="984"/>
      <c r="BG4" s="984"/>
      <c r="BH4" s="984"/>
      <c r="BI4" s="984"/>
      <c r="BJ4" s="984"/>
      <c r="BK4" s="984"/>
      <c r="BL4" s="984"/>
      <c r="BM4" s="256"/>
      <c r="BN4" s="984" t="s">
        <v>188</v>
      </c>
      <c r="BO4" s="984"/>
      <c r="BP4" s="984"/>
      <c r="BQ4" s="984"/>
      <c r="BR4" s="984"/>
      <c r="BS4" s="984"/>
      <c r="BT4" s="984"/>
      <c r="BU4" s="984"/>
      <c r="BV4" s="984"/>
      <c r="BW4" s="984"/>
      <c r="BX4" s="984"/>
      <c r="BY4" s="984"/>
      <c r="BZ4" s="984"/>
      <c r="CB4" s="984" t="s">
        <v>188</v>
      </c>
      <c r="CC4" s="984"/>
      <c r="CD4" s="984"/>
      <c r="CE4" s="984"/>
      <c r="CF4" s="984"/>
      <c r="CG4" s="984"/>
      <c r="CH4" s="984"/>
      <c r="CI4" s="984"/>
      <c r="CJ4" s="984"/>
      <c r="CK4" s="984"/>
      <c r="CL4" s="984"/>
      <c r="CM4" s="984"/>
      <c r="CN4" s="984"/>
      <c r="CO4" s="257"/>
      <c r="CP4" s="984" t="s">
        <v>188</v>
      </c>
      <c r="CQ4" s="984"/>
      <c r="CR4" s="984"/>
      <c r="CS4" s="984"/>
      <c r="CT4" s="984"/>
      <c r="CU4" s="984"/>
      <c r="CV4" s="984"/>
      <c r="CW4" s="984"/>
      <c r="CX4" s="984"/>
      <c r="CY4" s="984"/>
      <c r="CZ4" s="984"/>
      <c r="DA4" s="984"/>
      <c r="DB4" s="984"/>
      <c r="DC4" s="984" t="s">
        <v>188</v>
      </c>
      <c r="DD4" s="984"/>
      <c r="DE4" s="984"/>
      <c r="DF4" s="984"/>
      <c r="DG4" s="984"/>
      <c r="DH4" s="984"/>
      <c r="DI4" s="984"/>
      <c r="DJ4" s="984"/>
      <c r="DK4" s="984"/>
      <c r="DL4" s="984"/>
      <c r="DM4" s="984"/>
      <c r="DN4" s="984"/>
      <c r="DO4" s="984"/>
      <c r="DP4" s="256"/>
    </row>
    <row r="5" spans="2:214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435" t="s">
        <v>197</v>
      </c>
      <c r="N5" s="435" t="s">
        <v>198</v>
      </c>
      <c r="O5" s="435" t="s">
        <v>199</v>
      </c>
      <c r="P5" s="435" t="s">
        <v>200</v>
      </c>
      <c r="Q5" s="260" t="s">
        <v>201</v>
      </c>
      <c r="R5" s="734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435" t="s">
        <v>197</v>
      </c>
      <c r="AB5" s="435" t="s">
        <v>198</v>
      </c>
      <c r="AC5" s="435" t="s">
        <v>199</v>
      </c>
      <c r="AD5" s="435" t="s">
        <v>200</v>
      </c>
      <c r="AE5" s="260" t="s">
        <v>201</v>
      </c>
      <c r="AF5" s="734"/>
      <c r="AG5" s="734"/>
      <c r="AH5" s="734"/>
      <c r="AI5" s="256"/>
      <c r="AJ5" s="256"/>
      <c r="AK5" s="256"/>
      <c r="AL5" s="259" t="s">
        <v>189</v>
      </c>
      <c r="AM5" s="259" t="s">
        <v>190</v>
      </c>
      <c r="AN5" s="259" t="s">
        <v>191</v>
      </c>
      <c r="AO5" s="259" t="s">
        <v>192</v>
      </c>
      <c r="AP5" s="259" t="s">
        <v>193</v>
      </c>
      <c r="AQ5" s="259" t="s">
        <v>194</v>
      </c>
      <c r="AR5" s="259" t="s">
        <v>195</v>
      </c>
      <c r="AS5" s="259" t="s">
        <v>196</v>
      </c>
      <c r="AT5" s="435" t="s">
        <v>197</v>
      </c>
      <c r="AU5" s="435" t="s">
        <v>198</v>
      </c>
      <c r="AV5" s="435" t="s">
        <v>199</v>
      </c>
      <c r="AW5" s="435" t="s">
        <v>200</v>
      </c>
      <c r="AX5" s="260" t="s">
        <v>201</v>
      </c>
      <c r="AY5" s="256"/>
      <c r="AZ5" s="259" t="s">
        <v>189</v>
      </c>
      <c r="BA5" s="259" t="s">
        <v>190</v>
      </c>
      <c r="BB5" s="259" t="s">
        <v>191</v>
      </c>
      <c r="BC5" s="259" t="s">
        <v>192</v>
      </c>
      <c r="BD5" s="259" t="s">
        <v>193</v>
      </c>
      <c r="BE5" s="259" t="s">
        <v>194</v>
      </c>
      <c r="BF5" s="259" t="s">
        <v>195</v>
      </c>
      <c r="BG5" s="259" t="s">
        <v>196</v>
      </c>
      <c r="BH5" s="435" t="s">
        <v>197</v>
      </c>
      <c r="BI5" s="435" t="s">
        <v>198</v>
      </c>
      <c r="BJ5" s="435" t="s">
        <v>199</v>
      </c>
      <c r="BK5" s="435" t="s">
        <v>200</v>
      </c>
      <c r="BL5" s="260" t="s">
        <v>201</v>
      </c>
      <c r="BM5" s="256"/>
      <c r="BN5" s="259" t="s">
        <v>189</v>
      </c>
      <c r="BO5" s="259" t="s">
        <v>190</v>
      </c>
      <c r="BP5" s="259" t="s">
        <v>191</v>
      </c>
      <c r="BQ5" s="259" t="s">
        <v>192</v>
      </c>
      <c r="BR5" s="259" t="s">
        <v>193</v>
      </c>
      <c r="BS5" s="259" t="s">
        <v>194</v>
      </c>
      <c r="BT5" s="259" t="s">
        <v>195</v>
      </c>
      <c r="BU5" s="259" t="s">
        <v>196</v>
      </c>
      <c r="BV5" s="435" t="s">
        <v>197</v>
      </c>
      <c r="BW5" s="435" t="s">
        <v>198</v>
      </c>
      <c r="BX5" s="435" t="s">
        <v>199</v>
      </c>
      <c r="BY5" s="435" t="s">
        <v>200</v>
      </c>
      <c r="BZ5" s="260" t="s">
        <v>201</v>
      </c>
      <c r="CB5" s="259" t="s">
        <v>189</v>
      </c>
      <c r="CC5" s="259" t="s">
        <v>190</v>
      </c>
      <c r="CD5" s="259" t="s">
        <v>191</v>
      </c>
      <c r="CE5" s="259" t="s">
        <v>192</v>
      </c>
      <c r="CF5" s="259" t="s">
        <v>193</v>
      </c>
      <c r="CG5" s="259" t="s">
        <v>194</v>
      </c>
      <c r="CH5" s="259" t="s">
        <v>195</v>
      </c>
      <c r="CI5" s="259" t="s">
        <v>196</v>
      </c>
      <c r="CJ5" s="435" t="s">
        <v>197</v>
      </c>
      <c r="CK5" s="435" t="s">
        <v>198</v>
      </c>
      <c r="CL5" s="435" t="s">
        <v>199</v>
      </c>
      <c r="CM5" s="435" t="s">
        <v>200</v>
      </c>
      <c r="CN5" s="260" t="s">
        <v>201</v>
      </c>
      <c r="CO5" s="256"/>
      <c r="CP5" s="259" t="s">
        <v>189</v>
      </c>
      <c r="CQ5" s="259" t="s">
        <v>190</v>
      </c>
      <c r="CR5" s="259" t="s">
        <v>191</v>
      </c>
      <c r="CS5" s="259" t="s">
        <v>192</v>
      </c>
      <c r="CT5" s="259" t="s">
        <v>193</v>
      </c>
      <c r="CU5" s="259" t="s">
        <v>194</v>
      </c>
      <c r="CV5" s="259" t="s">
        <v>195</v>
      </c>
      <c r="CW5" s="259" t="s">
        <v>196</v>
      </c>
      <c r="CX5" s="435" t="s">
        <v>197</v>
      </c>
      <c r="CY5" s="435" t="s">
        <v>198</v>
      </c>
      <c r="CZ5" s="435" t="s">
        <v>199</v>
      </c>
      <c r="DA5" s="435" t="s">
        <v>200</v>
      </c>
      <c r="DB5" s="260" t="s">
        <v>201</v>
      </c>
      <c r="DC5" s="259" t="s">
        <v>189</v>
      </c>
      <c r="DD5" s="259" t="s">
        <v>190</v>
      </c>
      <c r="DE5" s="259" t="s">
        <v>191</v>
      </c>
      <c r="DF5" s="259" t="s">
        <v>192</v>
      </c>
      <c r="DG5" s="259" t="s">
        <v>193</v>
      </c>
      <c r="DH5" s="259" t="s">
        <v>194</v>
      </c>
      <c r="DI5" s="259" t="s">
        <v>195</v>
      </c>
      <c r="DJ5" s="259" t="s">
        <v>196</v>
      </c>
      <c r="DK5" s="259" t="s">
        <v>197</v>
      </c>
      <c r="DL5" s="259" t="s">
        <v>198</v>
      </c>
      <c r="DM5" s="259" t="s">
        <v>199</v>
      </c>
      <c r="DN5" s="259" t="s">
        <v>200</v>
      </c>
      <c r="DO5" s="260" t="s">
        <v>201</v>
      </c>
      <c r="DP5" s="256"/>
    </row>
    <row r="6" spans="2:214" s="258" customFormat="1" ht="12" x14ac:dyDescent="0.2">
      <c r="B6" s="263">
        <v>107307</v>
      </c>
      <c r="C6" s="151" t="s">
        <v>95</v>
      </c>
      <c r="E6" s="796">
        <f>SUM([2]A02!$H$21,[2]A02!$J$21,[2]A02!$L$21,[2]A02!$N$21,[2]A02!$P$21,[2]A02!$R$21,[2]A02!$T$21,[2]A02!$V$21,[2]A02!$X$21)</f>
        <v>55</v>
      </c>
      <c r="F6" s="796">
        <f>SUM([3]A02!$H$21,[3]A02!$J$21,[3]A02!$L$21,[3]A02!$N$21,[3]A02!$P$21,[3]A02!$R$21,[3]A02!$T$21,[3]A02!$V$21,[3]A02!$X$21)</f>
        <v>19</v>
      </c>
      <c r="G6" s="796">
        <f>SUM([4]A02!$H$21,[4]A02!$J$21,[4]A02!$L$21,[4]A02!$N$21,[4]A02!$P$21,[4]A02!$R$21,[4]A02!$T$21,[4]A02!$V$21,[4]A02!$X$21)</f>
        <v>26</v>
      </c>
      <c r="H6" s="796">
        <f>SUM([5]A02!$H$21,[5]A02!$J$21,[5]A02!$L$21,[5]A02!$N$21,[5]A02!$P$21,[5]A02!$R$21,[5]A02!$T$21,[5]A02!$V$21,[5]A02!$X$21)</f>
        <v>56</v>
      </c>
      <c r="I6" s="796">
        <f>SUM([6]A02!$H$21,[6]A02!$J$21,[6]A02!$L$21,[6]A02!$N$21,[6]A02!$P$21,[6]A02!$R$21,[6]A02!$T$21,[6]A02!$V$21,[6]A02!$X$21)</f>
        <v>102</v>
      </c>
      <c r="J6" s="796">
        <f>SUM([7]A02!$H$21,[7]A02!$J$21,[7]A02!$L$21,[7]A02!$N$21,[7]A02!$P$21,[7]A02!$R$21,[7]A02!$T$21,[7]A02!$V$21,[7]A02!$X$21)</f>
        <v>110</v>
      </c>
      <c r="K6" s="796">
        <f>SUM([8]A02!$H$21,[8]A02!$J$21,[8]A02!$L$21,[8]A02!$N$21,[8]A02!$P$21,[8]A02!$R$21,[8]A02!$T$21,[8]A02!$V$21,[8]A02!$X$21)</f>
        <v>99</v>
      </c>
      <c r="L6" s="256"/>
      <c r="M6" s="434"/>
      <c r="N6" s="434"/>
      <c r="O6" s="434"/>
      <c r="P6" s="434"/>
      <c r="Q6" s="262">
        <f>SUM(E6:P6)</f>
        <v>467</v>
      </c>
      <c r="R6" s="735"/>
      <c r="S6" s="611">
        <f>SUM([2]A02!$G$21,[2]A02!$I$21,[2]A02!$K$21,[2]A02!$M$21,[2]A02!$O$21,[2]A02!$Q$21,[2]A02!$S$21,[2]A02!$U$21,[2]A02!$W$21)</f>
        <v>21</v>
      </c>
      <c r="T6" s="611">
        <f>SUM([3]A02!$G$21,[3]A02!$I$21,[3]A02!$K$21,[3]A02!$M$21,[3]A02!$O$21,[3]A02!$Q$21,[3]A02!$S$21,[3]A02!$U$21,[3]A02!$W$21)</f>
        <v>24</v>
      </c>
      <c r="U6" s="611">
        <f>SUM([4]A02!$G$21,[4]A02!$I$21,[4]A02!$K$21,[4]A02!$M$21,[4]A02!$O$21,[4]A02!$Q$21,[4]A02!$S$21,[4]A02!$U$21,[4]A02!$W$21)</f>
        <v>15</v>
      </c>
      <c r="V6" s="611">
        <f>SUM([5]A02!$G$21,[5]A02!$I$21,[5]A02!$K$21,[5]A02!$M$21,[5]A02!$O$21,[5]A02!$Q$21,[5]A02!$S$21,[5]A02!$U$21,[5]A02!$W$21)</f>
        <v>23</v>
      </c>
      <c r="W6" s="611">
        <f>SUM([6]A02!$G$21,[6]A02!$I$21,[6]A02!$K$21,[6]A02!$M$21,[6]A02!$O$21,[6]A02!$Q$21,[6]A02!$S$21,[6]A02!$U$21,[6]A02!$W$21)</f>
        <v>28</v>
      </c>
      <c r="X6" s="611">
        <f>SUM([7]A02!$G$21,[7]A02!$I$21,[7]A02!$K$21,[7]A02!$M$21,[7]A02!$O$21,[7]A02!$Q$21,[7]A02!$S$21,[7]A02!$U$21,[7]A02!$W$21)</f>
        <v>26</v>
      </c>
      <c r="Y6" s="611">
        <f>SUM([8]A02!$G$21,[8]A02!$I$21,[8]A02!$K$21,[8]A02!$M$21,[8]A02!$O$21,[8]A02!$Q$21,[8]A02!$S$21,[8]A02!$U$21,[8]A02!$W$21)</f>
        <v>38</v>
      </c>
      <c r="Z6" s="256"/>
      <c r="AA6" s="434"/>
      <c r="AB6" s="434"/>
      <c r="AC6" s="434"/>
      <c r="AD6" s="434"/>
      <c r="AE6" s="262">
        <f>SUM(S6:AD6)</f>
        <v>175</v>
      </c>
      <c r="AF6" s="735"/>
      <c r="AG6" s="735"/>
      <c r="AH6" s="735"/>
      <c r="AI6" s="256"/>
      <c r="AJ6" s="256"/>
      <c r="AK6" s="256"/>
      <c r="AL6" s="611">
        <f>SUM([2]A02!$Y$21:$AF$21)</f>
        <v>264</v>
      </c>
      <c r="AM6" s="611">
        <f>SUM([3]A02!$Y$21:$AF$21)</f>
        <v>151</v>
      </c>
      <c r="AN6" s="611">
        <f>SUM([4]A02!$Y$21:$AF$21)</f>
        <v>129</v>
      </c>
      <c r="AO6" s="611">
        <f>SUM([5]A02!$Y$21:$AF$21)</f>
        <v>249</v>
      </c>
      <c r="AP6" s="611">
        <f>SUM([6]A02!$Y$21:$AF$21)</f>
        <v>200</v>
      </c>
      <c r="AQ6" s="611">
        <f>SUM([7]A02!$Y$21:$AF$21)</f>
        <v>213</v>
      </c>
      <c r="AR6" s="611">
        <f>SUM([8]A02!$Y$21:$AF$21)</f>
        <v>284</v>
      </c>
      <c r="AS6" s="256"/>
      <c r="AT6" s="434"/>
      <c r="AU6" s="434"/>
      <c r="AV6" s="434"/>
      <c r="AW6" s="434"/>
      <c r="AX6" s="262">
        <f>SUM(AL6:AW6)</f>
        <v>1490</v>
      </c>
      <c r="AY6" s="256"/>
      <c r="AZ6" s="796">
        <f>[2]A05!$C$13</f>
        <v>15</v>
      </c>
      <c r="BA6" s="611">
        <f>[3]A05!$C$13</f>
        <v>28</v>
      </c>
      <c r="BB6" s="611">
        <f>[4]A05!$C$13</f>
        <v>18</v>
      </c>
      <c r="BC6" s="611">
        <f>[5]A05!$C$13</f>
        <v>25</v>
      </c>
      <c r="BD6" s="611">
        <f>[6]A05!$C$13</f>
        <v>19</v>
      </c>
      <c r="BE6" s="611">
        <f>[7]A05!$C$13</f>
        <v>18</v>
      </c>
      <c r="BF6" s="611">
        <f>[8]A05!$C$13</f>
        <v>19</v>
      </c>
      <c r="BG6" s="256"/>
      <c r="BH6" s="434"/>
      <c r="BI6" s="434"/>
      <c r="BJ6" s="434"/>
      <c r="BK6" s="434"/>
      <c r="BL6" s="262">
        <f>SUM(AZ6:BK6)</f>
        <v>142</v>
      </c>
      <c r="BM6" s="256"/>
      <c r="BN6" s="611">
        <f>[2]A05!$C$11</f>
        <v>17</v>
      </c>
      <c r="BO6" s="611">
        <f>[3]A05!$C$11</f>
        <v>29</v>
      </c>
      <c r="BP6" s="611">
        <f>[4]A05!$C$11</f>
        <v>18</v>
      </c>
      <c r="BQ6" s="611">
        <f>[5]A05!$C$11</f>
        <v>26</v>
      </c>
      <c r="BR6" s="611">
        <f>[6]A05!$C$11</f>
        <v>20</v>
      </c>
      <c r="BS6" s="611">
        <f>[7]A05!$C$11</f>
        <v>19</v>
      </c>
      <c r="BT6" s="611">
        <f>[8]A05!$C$11</f>
        <v>19</v>
      </c>
      <c r="BU6" s="256"/>
      <c r="BV6" s="434"/>
      <c r="BW6" s="434"/>
      <c r="BX6" s="434"/>
      <c r="BY6" s="434"/>
      <c r="BZ6" s="262">
        <f>SUM(BN6:BY6)</f>
        <v>148</v>
      </c>
      <c r="CB6" s="611">
        <f>SUM([2]A03!$J$21:$M$24)</f>
        <v>22</v>
      </c>
      <c r="CC6" s="611">
        <f>SUM([3]A03!$J$21:$M$24)</f>
        <v>25</v>
      </c>
      <c r="CD6" s="611">
        <f>SUM([4]A03!$J$21:$M$24)</f>
        <v>17</v>
      </c>
      <c r="CE6" s="611">
        <f>SUM([5]A03!$J$21:$M$24)</f>
        <v>17</v>
      </c>
      <c r="CF6" s="611">
        <f>SUM([6]A03!$J$21:$M$24)</f>
        <v>10</v>
      </c>
      <c r="CG6" s="611">
        <f>SUM([7]A03!$J$21:$M$24)</f>
        <v>17</v>
      </c>
      <c r="CH6" s="611">
        <f>SUM([8]A03!$J$21:$M$24)</f>
        <v>18</v>
      </c>
      <c r="CI6" s="256"/>
      <c r="CJ6" s="434"/>
      <c r="CK6" s="434"/>
      <c r="CL6" s="434"/>
      <c r="CM6" s="434"/>
      <c r="CN6" s="262">
        <f>SUM(CB6:CM6)</f>
        <v>126</v>
      </c>
      <c r="CO6" s="256"/>
      <c r="CP6" s="611">
        <f>SUM([2]A26!$C$10:$C$35,[2]A26!$C$40:$E$41,[2]A33!$B$44)</f>
        <v>151</v>
      </c>
      <c r="CQ6" s="611">
        <f>SUM([3]A26!$C$10:$C$35,[3]A26!$C$40:$E$41,[3]A33!$B$44)</f>
        <v>90</v>
      </c>
      <c r="CR6" s="611">
        <f>SUM([4]A26!$C$10:$C$35,[4]A26!$C$40:$E$41,[4]A33!$B$44)</f>
        <v>142</v>
      </c>
      <c r="CS6" s="611">
        <f>SUM([5]A26!$C$10:$C$35,[5]A26!$C$40:$E$41,[5]A33!$B$44)</f>
        <v>126</v>
      </c>
      <c r="CT6" s="611">
        <f>SUM([6]A26!$C$10:$C$35,[6]A26!$C$40:$E$41,[6]A33!$B$44)</f>
        <v>130</v>
      </c>
      <c r="CU6" s="611">
        <f>SUM([7]A26!$C$10:$C$35,[7]A26!$C$40:$E$41,[7]A33!$B$44)</f>
        <v>124</v>
      </c>
      <c r="CV6" s="611">
        <f>SUM([8]A26!$C$10:$C$35,[8]A26!$C$40:$E$41,[8]A33!$B$44)</f>
        <v>149</v>
      </c>
      <c r="CW6" s="256"/>
      <c r="CX6" s="434"/>
      <c r="CY6" s="434"/>
      <c r="CZ6" s="434"/>
      <c r="DA6" s="434"/>
      <c r="DB6" s="262">
        <f>SUM(CP6:DA6)</f>
        <v>912</v>
      </c>
      <c r="DC6" s="611">
        <f>SUM([2]A01!$C$74,[2]A01!$F$74,[2]A32!$B$186:$B$187,[2]A32!$E$186:$E$187)</f>
        <v>0</v>
      </c>
      <c r="DD6" s="611">
        <f>SUM([3]A01!$C$74,[3]A01!$F$74,[3]A32!$B$186:$B$187,[3]A32!$E$186:$E$187)</f>
        <v>62</v>
      </c>
      <c r="DE6" s="611">
        <f>SUM([4]A01!$C$74,[4]A01!$F$74,[4]A32!$B$186:$B$187,[4]A32!$E$186:$E$187)</f>
        <v>29</v>
      </c>
      <c r="DF6" s="611">
        <f>SUM([5]A01!$C$74,[5]A01!$F$74,[5]A32!$B$186:$B$187,[5]A32!$E$186:$E$187)</f>
        <v>47</v>
      </c>
      <c r="DG6" s="611">
        <f>SUM([6]A01!$C$74,[6]A01!$F$74,[6]A32!$B$186:$B$187,[6]A32!$E$186:$E$187)</f>
        <v>47</v>
      </c>
      <c r="DH6" s="611">
        <f>SUM([7]A01!$C$74,[7]A01!$F$74,[7]A32!$B$186:$B$187,[7]A32!$E$186:$E$187)</f>
        <v>23</v>
      </c>
      <c r="DI6" s="611">
        <f>SUM([8]A01!$C$74,[8]A01!$F$74,[8]A32!$B$186:$B$187,[8]A32!$E$186:$E$187)</f>
        <v>23</v>
      </c>
      <c r="DJ6" s="256"/>
      <c r="DK6" s="434"/>
      <c r="DL6" s="434"/>
      <c r="DM6" s="434"/>
      <c r="DN6" s="434"/>
      <c r="DO6" s="262">
        <f>SUM(DC6:DN6)</f>
        <v>231</v>
      </c>
      <c r="DP6" s="256"/>
    </row>
    <row r="7" spans="2:214" s="258" customFormat="1" ht="12" x14ac:dyDescent="0.2">
      <c r="B7" s="263">
        <v>107308</v>
      </c>
      <c r="C7" s="151" t="s">
        <v>96</v>
      </c>
      <c r="E7" s="796">
        <f>SUM([9]A02!$H$21,[9]A02!$J$21,[9]A02!$L$21,[9]A02!$N$21,[9]A02!$P$21,[9]A02!$R$21,[9]A02!$T$21,[9]A02!$V$21,[9]A02!$X$21)</f>
        <v>52</v>
      </c>
      <c r="F7" s="796">
        <f>SUM([10]A02!$H$21,[10]A02!$J$21,[10]A02!$L$21,[10]A02!$N$21,[10]A02!$P$21,[10]A02!$R$21,[10]A02!$T$21,[10]A02!$V$21,[10]A02!$X$21)</f>
        <v>28</v>
      </c>
      <c r="G7" s="796">
        <f>SUM([11]A02!$H$21,[11]A02!$J$21,[11]A02!$L$21,[11]A02!$N$21,[11]A02!$P$21,[11]A02!$R$21,[11]A02!$T$21,[11]A02!$V$21,[11]A02!$X$21)</f>
        <v>23</v>
      </c>
      <c r="H7" s="796">
        <f>SUM([12]A02!$H$21,[12]A02!$J$21,[12]A02!$L$21,[12]A02!$N$21,[12]A02!$P$21,[12]A02!$R$21,[12]A02!$T$21,[12]A02!$V$21,[12]A02!$X$21)</f>
        <v>104</v>
      </c>
      <c r="I7" s="796">
        <f>SUM([13]A02!$H$21,[13]A02!$J$21,[13]A02!$L$21,[13]A02!$N$21,[13]A02!$P$21,[13]A02!$R$21,[13]A02!$T$21,[13]A02!$V$21,[13]A02!$X$21)</f>
        <v>72</v>
      </c>
      <c r="J7" s="796">
        <f>SUM([14]A02!$H$21,[14]A02!$J$21,[14]A02!$L$21,[14]A02!$N$21,[14]A02!$P$21,[14]A02!$R$21,[14]A02!$T$21,[14]A02!$V$21,[14]A02!$X$21)</f>
        <v>51</v>
      </c>
      <c r="K7" s="796">
        <f>SUM([15]A02!$H$21,[15]A02!$J$21,[15]A02!$L$21,[15]A02!$N$21,[15]A02!$P$21,[15]A02!$R$21,[15]A02!$T$21,[15]A02!$V$21,[15]A02!$X$21)</f>
        <v>139</v>
      </c>
      <c r="L7" s="256"/>
      <c r="M7" s="434"/>
      <c r="N7" s="434"/>
      <c r="O7" s="434"/>
      <c r="P7" s="434"/>
      <c r="Q7" s="262">
        <f t="shared" ref="Q7:Q12" si="0">SUM(E7:P7)</f>
        <v>469</v>
      </c>
      <c r="R7" s="735"/>
      <c r="S7" s="611">
        <f>SUM([9]A02!$G$21,[9]A02!$I$21,[9]A02!$K$21,[9]A02!$M$21,[9]A02!$O$21,[9]A02!$Q$21,[9]A02!$S$21,[9]A02!$U$21,[9]A02!$W$21)</f>
        <v>26</v>
      </c>
      <c r="T7" s="611">
        <f>SUM([10]A02!$G$21,[10]A02!$I$21,[10]A02!$K$21,[10]A02!$M$21,[10]A02!$O$21,[10]A02!$Q$21,[10]A02!$S$21,[10]A02!$U$21,[10]A02!$W$21)</f>
        <v>2</v>
      </c>
      <c r="U7" s="611">
        <f>SUM([11]A02!$G$21,[11]A02!$I$21,[11]A02!$K$21,[11]A02!$M$21,[11]A02!$O$21,[11]A02!$Q$21,[11]A02!$S$21,[11]A02!$U$21,[11]A02!$W$21)</f>
        <v>10</v>
      </c>
      <c r="V7" s="611">
        <f>SUM([12]A02!$G$21,[12]A02!$I$21,[12]A02!$K$21,[12]A02!$M$21,[12]A02!$O$21,[12]A02!$Q$21,[12]A02!$S$21,[12]A02!$U$21,[12]A02!$W$21)</f>
        <v>33</v>
      </c>
      <c r="W7" s="611">
        <f>SUM([13]A02!$G$21,[13]A02!$I$21,[13]A02!$K$21,[13]A02!$M$21,[13]A02!$O$21,[13]A02!$Q$21,[13]A02!$S$21,[13]A02!$U$21,[13]A02!$W$21)</f>
        <v>19</v>
      </c>
      <c r="X7" s="611">
        <f>SUM([14]A02!$G$21,[14]A02!$I$21,[14]A02!$K$21,[14]A02!$M$21,[14]A02!$O$21,[14]A02!$Q$21,[14]A02!$S$21,[14]A02!$U$21,[14]A02!$W$21)</f>
        <v>17</v>
      </c>
      <c r="Y7" s="611">
        <f>SUM([15]A02!$G$21,[15]A02!$I$21,[15]A02!$K$21,[15]A02!$M$21,[15]A02!$O$21,[15]A02!$Q$21,[15]A02!$S$21,[15]A02!$U$21,[15]A02!$W$21)</f>
        <v>99</v>
      </c>
      <c r="Z7" s="256"/>
      <c r="AA7" s="434"/>
      <c r="AB7" s="434"/>
      <c r="AC7" s="434"/>
      <c r="AD7" s="434"/>
      <c r="AE7" s="262">
        <f t="shared" ref="AE7:AE12" si="1">SUM(S7:AD7)</f>
        <v>206</v>
      </c>
      <c r="AF7" s="735"/>
      <c r="AG7" s="735"/>
      <c r="AH7" s="735"/>
      <c r="AI7" s="256"/>
      <c r="AJ7" s="256"/>
      <c r="AK7" s="256"/>
      <c r="AL7" s="611">
        <f>SUM([9]A02!$Y$21:$AF$21)</f>
        <v>102</v>
      </c>
      <c r="AM7" s="611">
        <f>SUM([10]A02!$Y$21:$AF$21)</f>
        <v>47</v>
      </c>
      <c r="AN7" s="611">
        <f>SUM([11]A02!$Y$21:$AF$21)</f>
        <v>53</v>
      </c>
      <c r="AO7" s="611">
        <f>SUM([12]A02!$Y$21:$AF$21)</f>
        <v>111</v>
      </c>
      <c r="AP7" s="611">
        <f>SUM([13]A02!$Y$21:$AF$21)</f>
        <v>130</v>
      </c>
      <c r="AQ7" s="611">
        <f>SUM([14]A02!$Y$21:$AF$21)</f>
        <v>106</v>
      </c>
      <c r="AR7" s="611">
        <f>SUM([15]A02!$Y$21:$AF$21)</f>
        <v>158</v>
      </c>
      <c r="AS7" s="256"/>
      <c r="AT7" s="434"/>
      <c r="AU7" s="434"/>
      <c r="AV7" s="434"/>
      <c r="AW7" s="434"/>
      <c r="AX7" s="262">
        <f t="shared" ref="AX7:AX12" si="2">SUM(AL7:AW7)</f>
        <v>707</v>
      </c>
      <c r="AY7" s="256"/>
      <c r="AZ7" s="611">
        <f>[9]A05!$C$13</f>
        <v>21</v>
      </c>
      <c r="BA7" s="611">
        <f>[10]A05!$C$13</f>
        <v>10</v>
      </c>
      <c r="BB7" s="611">
        <f>[11]A05!$C$13</f>
        <v>18</v>
      </c>
      <c r="BC7" s="611">
        <f>[12]A05!$C$13</f>
        <v>13</v>
      </c>
      <c r="BD7" s="611">
        <f>[13]A05!$C$13</f>
        <v>9</v>
      </c>
      <c r="BE7" s="611">
        <f>[14]A05!$C$13</f>
        <v>18</v>
      </c>
      <c r="BF7" s="611">
        <f>[15]A05!$C$13</f>
        <v>21</v>
      </c>
      <c r="BG7" s="256"/>
      <c r="BH7" s="434"/>
      <c r="BI7" s="434"/>
      <c r="BJ7" s="434"/>
      <c r="BK7" s="434"/>
      <c r="BL7" s="262">
        <f t="shared" ref="BL7:BL12" si="3">SUM(AZ7:BK7)</f>
        <v>110</v>
      </c>
      <c r="BM7" s="256"/>
      <c r="BN7" s="611">
        <f>[9]A05!$C$11</f>
        <v>21</v>
      </c>
      <c r="BO7" s="611">
        <f>[10]A05!$C$11</f>
        <v>12</v>
      </c>
      <c r="BP7" s="611">
        <f>[11]A05!$C$11</f>
        <v>18</v>
      </c>
      <c r="BQ7" s="611">
        <f>[12]A05!$C$11</f>
        <v>15</v>
      </c>
      <c r="BR7" s="611">
        <f>[13]A05!$C$11</f>
        <v>13</v>
      </c>
      <c r="BS7" s="611">
        <f>[14]A05!$C$11</f>
        <v>19</v>
      </c>
      <c r="BT7" s="611">
        <f>[15]A05!$C$11</f>
        <v>22</v>
      </c>
      <c r="BU7" s="256"/>
      <c r="BV7" s="434"/>
      <c r="BW7" s="434"/>
      <c r="BX7" s="434"/>
      <c r="BY7" s="434"/>
      <c r="BZ7" s="262">
        <f t="shared" ref="BZ7:BZ12" si="4">SUM(BN7:BY7)</f>
        <v>120</v>
      </c>
      <c r="CB7" s="611">
        <f>SUM([9]A03!$J$21:$M$24)</f>
        <v>11</v>
      </c>
      <c r="CC7" s="611">
        <f>SUM([10]A03!$J$21:$M$24)</f>
        <v>4</v>
      </c>
      <c r="CD7" s="611">
        <f>SUM([11]A03!$J$21:$M$24)</f>
        <v>20</v>
      </c>
      <c r="CE7" s="611">
        <f>SUM([12]A03!$J$21:$M$24)</f>
        <v>21</v>
      </c>
      <c r="CF7" s="611">
        <f>SUM([13]A03!$J$21:$M$24)</f>
        <v>18</v>
      </c>
      <c r="CG7" s="611">
        <f>SUM([14]A03!$J$21:$M$24)</f>
        <v>17</v>
      </c>
      <c r="CH7" s="611">
        <f>SUM([15]A03!$J$21:$M$24)</f>
        <v>15</v>
      </c>
      <c r="CI7" s="256"/>
      <c r="CJ7" s="434"/>
      <c r="CK7" s="434"/>
      <c r="CL7" s="434"/>
      <c r="CM7" s="434"/>
      <c r="CN7" s="262">
        <f t="shared" ref="CN7:CN12" si="5">SUM(CB7:CM7)</f>
        <v>106</v>
      </c>
      <c r="CO7" s="256"/>
      <c r="CP7" s="611">
        <f>SUM([9]A26!$C$10:$C$35,[9]A26!$C$40:$E$41,[9]A33!$B$44)</f>
        <v>49</v>
      </c>
      <c r="CQ7" s="611">
        <f>SUM([10]A26!$C$10:$C$35,[10]A26!$C$40:$E$41,[10]A33!$B$44)</f>
        <v>30</v>
      </c>
      <c r="CR7" s="611">
        <f>SUM([11]A26!$C$10:$C$35,[11]A26!$C$40:$E$41,[11]A33!$B$44)</f>
        <v>44</v>
      </c>
      <c r="CS7" s="611">
        <f>SUM([12]A26!$C$10:$C$35,[12]A26!$C$40:$E$41,[12]A33!$B$44)</f>
        <v>35</v>
      </c>
      <c r="CT7" s="611">
        <f>SUM([13]A26!$C$10:$C$35,[13]A26!$C$40:$E$41,[13]A33!$B$44)</f>
        <v>34</v>
      </c>
      <c r="CU7" s="611">
        <f>SUM([14]A26!$C$10:$C$35,[14]A26!$C$40:$E$41,[14]A33!$B$44)</f>
        <v>43</v>
      </c>
      <c r="CV7" s="611">
        <f>SUM([15]A26!$C$10:$C$35,[15]A26!$C$40:$E$41,[15]A33!$B$44)</f>
        <v>25</v>
      </c>
      <c r="CW7" s="256"/>
      <c r="CX7" s="434"/>
      <c r="CY7" s="434"/>
      <c r="CZ7" s="434"/>
      <c r="DA7" s="434"/>
      <c r="DB7" s="262">
        <f t="shared" ref="DB7:DB12" si="6">SUM(CP7:DA7)</f>
        <v>260</v>
      </c>
      <c r="DC7" s="611">
        <f>SUM([9]A01!$C$74,[9]A01!$F$74,[9]A32!$B$186:$B$187,[9]A32!$E$186:$E$187)</f>
        <v>0</v>
      </c>
      <c r="DD7" s="611">
        <f>SUM([10]A01!$C$74,[10]A01!$F$74,[10]A32!$B$186:$B$187,[10]A32!$E$186:$E$187)</f>
        <v>44</v>
      </c>
      <c r="DE7" s="611">
        <f>SUM([11]A01!$C$74,[11]A01!$F$74,[11]A32!$B$186:$B$187,[11]A32!$E$186:$E$187)</f>
        <v>25</v>
      </c>
      <c r="DF7" s="611">
        <f>SUM([12]A01!$C$74,[12]A01!$F$74,[12]A32!$B$186:$B$187,[12]A32!$E$186:$E$187)</f>
        <v>54</v>
      </c>
      <c r="DG7" s="611">
        <f>SUM([13]A01!$C$74,[13]A01!$F$74,[13]A32!$B$186:$B$187,[13]A32!$E$186:$E$187)</f>
        <v>38</v>
      </c>
      <c r="DH7" s="611">
        <f>SUM([14]A01!$C$74,[14]A01!$F$74,[14]A32!$B$186:$B$187,[14]A32!$E$186:$E$187)</f>
        <v>45</v>
      </c>
      <c r="DI7" s="611">
        <f>SUM([15]A01!$C$74,[15]A01!$F$74,[15]A32!$B$186:$B$187,[15]A32!$E$186:$E$187)</f>
        <v>82</v>
      </c>
      <c r="DJ7" s="256"/>
      <c r="DK7" s="434"/>
      <c r="DL7" s="434"/>
      <c r="DM7" s="434"/>
      <c r="DN7" s="434"/>
      <c r="DO7" s="262">
        <f t="shared" ref="DO7:DO12" si="7">SUM(DC7:DN7)</f>
        <v>288</v>
      </c>
      <c r="DP7" s="256"/>
    </row>
    <row r="8" spans="2:214" s="258" customFormat="1" ht="12" x14ac:dyDescent="0.2">
      <c r="B8" s="263">
        <v>107353</v>
      </c>
      <c r="C8" s="151" t="s">
        <v>97</v>
      </c>
      <c r="E8" s="796">
        <f>SUM([16]A02!$H$21,[16]A02!$J$21,[16]A02!$L$21,[16]A02!$N$21,[16]A02!$P$21,[16]A02!$R$21,[16]A02!$T$21,[16]A02!$V$21,[16]A02!$X$21)</f>
        <v>53</v>
      </c>
      <c r="F8" s="796">
        <f>SUM([17]A02!$H$21,[17]A02!$J$21,[17]A02!$L$21,[17]A02!$N$21,[17]A02!$P$21,[17]A02!$R$21,[17]A02!$T$21,[17]A02!$V$21,[17]A02!$X$21)</f>
        <v>49</v>
      </c>
      <c r="G8" s="796">
        <f>SUM([18]A02!$H$21,[18]A02!$J$21,[18]A02!$L$21,[18]A02!$N$21,[18]A02!$P$21,[18]A02!$R$21,[18]A02!$T$21,[18]A02!$V$21,[18]A02!$X$21)</f>
        <v>57</v>
      </c>
      <c r="H8" s="796">
        <f>SUM([19]A02!$H$21,[19]A02!$J$21,[19]A02!$L$21,[19]A02!$N$21,[19]A02!$P$21,[19]A02!$R$21,[19]A02!$T$21,[19]A02!$V$21,[19]A02!$X$21)</f>
        <v>51</v>
      </c>
      <c r="I8" s="796">
        <f>SUM([20]A02!$H$21,[20]A02!$J$21,[20]A02!$L$21,[20]A02!$N$21,[20]A02!$P$21,[20]A02!$R$21,[20]A02!$T$21,[20]A02!$V$21,[20]A02!$X$21)</f>
        <v>102</v>
      </c>
      <c r="J8" s="796">
        <f>SUM([21]A02!$H$21,[21]A02!$J$21,[21]A02!$L$21,[21]A02!$N$21,[21]A02!$P$21,[21]A02!$R$21,[21]A02!$T$21,[21]A02!$V$21,[21]A02!$X$21)</f>
        <v>123</v>
      </c>
      <c r="K8" s="796">
        <f>SUM([22]A02!$H$21,[22]A02!$J$21,[22]A02!$L$21,[22]A02!$N$21,[22]A02!$P$21,[22]A02!$R$21,[22]A02!$T$21,[22]A02!$V$21,[22]A02!$X$21)</f>
        <v>76</v>
      </c>
      <c r="L8" s="256"/>
      <c r="M8" s="434"/>
      <c r="N8" s="434"/>
      <c r="O8" s="434"/>
      <c r="P8" s="434"/>
      <c r="Q8" s="262">
        <f t="shared" si="0"/>
        <v>511</v>
      </c>
      <c r="R8" s="735"/>
      <c r="S8" s="611">
        <f>SUM([16]A02!$G$21,[16]A02!$I$21,[16]A02!$K$21,[16]A02!$M$21,[16]A02!$O$21,[16]A02!$Q$21,[16]A02!$S$21,[16]A02!$U$21,[16]A02!$W$21)</f>
        <v>22</v>
      </c>
      <c r="T8" s="611">
        <f>SUM([17]A02!$G$21,[17]A02!$I$21,[17]A02!$K$21,[17]A02!$M$21,[17]A02!$O$21,[17]A02!$Q$21,[17]A02!$S$21,[17]A02!$U$21,[17]A02!$W$21)</f>
        <v>17</v>
      </c>
      <c r="U8" s="611">
        <f>SUM([18]A02!$G$21,[18]A02!$I$21,[18]A02!$K$21,[18]A02!$M$21,[18]A02!$O$21,[18]A02!$Q$21,[18]A02!$S$21,[18]A02!$U$21,[18]A02!$W$21)</f>
        <v>13</v>
      </c>
      <c r="V8" s="611">
        <f>SUM([19]A02!$G$21,[19]A02!$I$21,[19]A02!$K$21,[19]A02!$M$21,[19]A02!$O$21,[19]A02!$Q$21,[19]A02!$S$21,[19]A02!$U$21,[19]A02!$W$21)</f>
        <v>21</v>
      </c>
      <c r="W8" s="611">
        <f>SUM([20]A02!$G$21,[20]A02!$I$21,[20]A02!$K$21,[20]A02!$M$21,[20]A02!$O$21,[20]A02!$Q$21,[20]A02!$S$21,[20]A02!$U$21,[20]A02!$W$21)</f>
        <v>39</v>
      </c>
      <c r="X8" s="611">
        <f>SUM([21]A02!$G$21,[21]A02!$I$21,[21]A02!$K$21,[21]A02!$M$21,[21]A02!$O$21,[21]A02!$Q$21,[21]A02!$S$21,[21]A02!$U$21,[21]A02!$W$21)</f>
        <v>67</v>
      </c>
      <c r="Y8" s="611">
        <f>SUM([22]A02!$G$21,[22]A02!$I$21,[22]A02!$K$21,[22]A02!$M$21,[22]A02!$O$21,[22]A02!$Q$21,[22]A02!$S$21,[22]A02!$U$21,[22]A02!$W$21)</f>
        <v>49</v>
      </c>
      <c r="Z8" s="256"/>
      <c r="AA8" s="434"/>
      <c r="AB8" s="434"/>
      <c r="AC8" s="434"/>
      <c r="AD8" s="434"/>
      <c r="AE8" s="262">
        <f t="shared" si="1"/>
        <v>228</v>
      </c>
      <c r="AF8" s="735"/>
      <c r="AG8" s="735"/>
      <c r="AH8" s="735"/>
      <c r="AI8" s="256"/>
      <c r="AJ8" s="256"/>
      <c r="AK8" s="256"/>
      <c r="AL8" s="611">
        <f>SUM([16]A02!$Y$21:$AF$21)</f>
        <v>72</v>
      </c>
      <c r="AM8" s="611">
        <f>SUM([17]A02!$Y$21:$AF$21)</f>
        <v>47</v>
      </c>
      <c r="AN8" s="611">
        <f>SUM([18]A02!$Y$21:$AF$21)</f>
        <v>55</v>
      </c>
      <c r="AO8" s="611">
        <f>SUM([19]A02!$Y$21:$AF$21)</f>
        <v>67</v>
      </c>
      <c r="AP8" s="611">
        <f>SUM([20]A02!$Y$21:$AF$21)</f>
        <v>87</v>
      </c>
      <c r="AQ8" s="611">
        <f>SUM([21]A02!$Y$21:$AF$21)</f>
        <v>170</v>
      </c>
      <c r="AR8" s="611">
        <f>SUM([22]A02!$Y$21:$AF$21)</f>
        <v>133</v>
      </c>
      <c r="AS8" s="256"/>
      <c r="AT8" s="434"/>
      <c r="AU8" s="434"/>
      <c r="AV8" s="434"/>
      <c r="AW8" s="434"/>
      <c r="AX8" s="262">
        <f t="shared" si="2"/>
        <v>631</v>
      </c>
      <c r="AY8" s="256"/>
      <c r="AZ8" s="793">
        <f>[16]A05!$C$13</f>
        <v>21</v>
      </c>
      <c r="BA8" s="611">
        <f>[17]A05!$C$13</f>
        <v>13</v>
      </c>
      <c r="BB8" s="611">
        <f>[18]A05!$C$13</f>
        <v>16</v>
      </c>
      <c r="BC8" s="611">
        <f>[19]A05!$C$13</f>
        <v>7</v>
      </c>
      <c r="BD8" s="611">
        <f>[20]A05!$C$13</f>
        <v>9</v>
      </c>
      <c r="BE8" s="611">
        <f>[21]A05!$C$13</f>
        <v>13</v>
      </c>
      <c r="BF8" s="611">
        <f>[22]A05!$C$13</f>
        <v>8</v>
      </c>
      <c r="BG8" s="256"/>
      <c r="BH8" s="434"/>
      <c r="BI8" s="434"/>
      <c r="BJ8" s="434"/>
      <c r="BK8" s="434"/>
      <c r="BL8" s="262">
        <f t="shared" si="3"/>
        <v>87</v>
      </c>
      <c r="BM8" s="256"/>
      <c r="BN8" s="793">
        <f>[16]A05!$C$11</f>
        <v>22</v>
      </c>
      <c r="BO8" s="611">
        <f>[17]A05!$C$11</f>
        <v>16</v>
      </c>
      <c r="BP8" s="611">
        <f>[18]A05!$C$11</f>
        <v>20</v>
      </c>
      <c r="BQ8" s="611">
        <f>[19]A05!$C$11</f>
        <v>11</v>
      </c>
      <c r="BR8" s="611">
        <f>[20]A05!$C$11</f>
        <v>9</v>
      </c>
      <c r="BS8" s="611">
        <f>[21]A05!$C$11</f>
        <v>14</v>
      </c>
      <c r="BT8" s="611">
        <f>[22]A05!$C$11</f>
        <v>9</v>
      </c>
      <c r="BU8" s="256"/>
      <c r="BV8" s="434"/>
      <c r="BW8" s="434"/>
      <c r="BX8" s="434"/>
      <c r="BY8" s="434"/>
      <c r="BZ8" s="262">
        <f t="shared" si="4"/>
        <v>101</v>
      </c>
      <c r="CB8" s="611">
        <f>SUM([16]A03!$J$21:$M$24)</f>
        <v>16</v>
      </c>
      <c r="CC8" s="611">
        <f>SUM([17]A03!$J$21:$M$24)</f>
        <v>7</v>
      </c>
      <c r="CD8" s="611">
        <f>SUM([18]A03!$J$21:$M$24)</f>
        <v>16</v>
      </c>
      <c r="CE8" s="611">
        <f>SUM([19]A03!$J$21:$M$24)</f>
        <v>12</v>
      </c>
      <c r="CF8" s="611">
        <f>SUM([20]A03!$J$21:$M$24)</f>
        <v>7</v>
      </c>
      <c r="CG8" s="611">
        <f>SUM([21]A03!$J$21:$M$24)</f>
        <v>9</v>
      </c>
      <c r="CH8" s="611">
        <f>SUM([22]A03!$J$21:$M$24)</f>
        <v>12</v>
      </c>
      <c r="CI8" s="256"/>
      <c r="CJ8" s="434"/>
      <c r="CK8" s="434"/>
      <c r="CL8" s="434"/>
      <c r="CM8" s="434"/>
      <c r="CN8" s="262">
        <f t="shared" si="5"/>
        <v>79</v>
      </c>
      <c r="CO8" s="256"/>
      <c r="CP8" s="793">
        <f>SUM([16]A26!$C$10:$C$35,[16]A26!$C$40:$E$41,[16]A33!$B$44)</f>
        <v>58</v>
      </c>
      <c r="CQ8" s="611">
        <f>SUM([17]A26!$C$10:$C$35,[17]A26!$C$40:$E$41,[17]A33!$B$44)</f>
        <v>16</v>
      </c>
      <c r="CR8" s="611">
        <f>SUM([18]A26!$C$10:$C$35,[18]A26!$C$40:$E$41,[18]A33!$B$44)</f>
        <v>30</v>
      </c>
      <c r="CS8" s="611">
        <f>SUM([19]A26!$C$10:$C$35,[19]A26!$C$40:$E$41,[19]A33!$B$44)</f>
        <v>43</v>
      </c>
      <c r="CT8" s="611">
        <f>SUM([20]A26!$C$10:$C$35,[20]A26!$C$40:$E$41,[20]A33!$B$44)</f>
        <v>37</v>
      </c>
      <c r="CU8" s="611">
        <f>SUM([21]A26!$C$10:$C$35,[21]A26!$C$40:$E$41,[21]A33!$B$44)</f>
        <v>56</v>
      </c>
      <c r="CV8" s="611">
        <f>SUM([22]A26!$C$10:$C$35,[22]A26!$C$40:$E$41,[22]A33!$B$44)</f>
        <v>67</v>
      </c>
      <c r="CW8" s="256"/>
      <c r="CX8" s="434"/>
      <c r="CY8" s="434"/>
      <c r="CZ8" s="434"/>
      <c r="DA8" s="434"/>
      <c r="DB8" s="262">
        <f t="shared" si="6"/>
        <v>307</v>
      </c>
      <c r="DC8" s="793">
        <f>SUM([16]A01!$C$74,[16]A01!$F$74,[16]A32!$B$186:$B$187,[16]A32!$E$186:$E$187)</f>
        <v>40</v>
      </c>
      <c r="DD8" s="611">
        <f>SUM([17]A01!$C$74,[17]A01!$F$74,[17]A32!$B$186:$B$187,[17]A32!$E$186:$E$187)</f>
        <v>24</v>
      </c>
      <c r="DE8" s="611">
        <f>SUM([18]A01!$C$74,[18]A01!$F$74,[18]A32!$B$186:$B$187,[18]A32!$E$186:$E$187)</f>
        <v>4</v>
      </c>
      <c r="DF8" s="611">
        <f>SUM([19]A01!$C$74,[19]A01!$F$74,[19]A32!$B$186:$B$187,[19]A32!$E$186:$E$187)</f>
        <v>15</v>
      </c>
      <c r="DG8" s="611">
        <f>SUM([20]A01!$C$74,[20]A01!$F$74,[20]A32!$B$186:$B$187,[20]A32!$E$186:$E$187)</f>
        <v>19</v>
      </c>
      <c r="DH8" s="611">
        <f>SUM([21]A01!$C$74,[21]A01!$F$74,[21]A32!$B$186:$B$187,[21]A32!$E$186:$E$187)</f>
        <v>34</v>
      </c>
      <c r="DI8" s="611">
        <f>SUM([22]A01!$C$74,[22]A01!$F$74,[22]A32!$B$186:$B$187,[22]A32!$E$186:$E$187)</f>
        <v>30</v>
      </c>
      <c r="DJ8" s="256"/>
      <c r="DK8" s="434"/>
      <c r="DL8" s="434"/>
      <c r="DM8" s="434"/>
      <c r="DN8" s="434"/>
      <c r="DO8" s="262">
        <f t="shared" si="7"/>
        <v>166</v>
      </c>
      <c r="DP8" s="256"/>
    </row>
    <row r="9" spans="2:214" s="258" customFormat="1" ht="12" x14ac:dyDescent="0.2">
      <c r="B9" s="263">
        <v>107356</v>
      </c>
      <c r="C9" s="151" t="s">
        <v>98</v>
      </c>
      <c r="E9" s="796">
        <f>SUM([23]A02!$H$21,[23]A02!$J$21,[23]A02!$L$21,[23]A02!$N$21,[23]A02!$P$21,[23]A02!$R$21,[23]A02!$T$21,[23]A02!$V$21,[23]A02!$X$21)</f>
        <v>125</v>
      </c>
      <c r="F9" s="796">
        <f>SUM([24]A02!$H$21,[24]A02!$J$21,[24]A02!$L$21,[24]A02!$N$21,[24]A02!$P$21,[24]A02!$R$21,[24]A02!$T$21,[24]A02!$V$21,[24]A02!$X$21)</f>
        <v>67</v>
      </c>
      <c r="G9" s="796">
        <f>SUM([25]A02!$H$21,[25]A02!$J$21,[25]A02!$L$21,[25]A02!$N$21,[25]A02!$P$21,[25]A02!$R$21,[25]A02!$T$21,[25]A02!$V$21,[25]A02!$X$21)</f>
        <v>41</v>
      </c>
      <c r="H9" s="796">
        <f>SUM([26]A02!$H$21,[26]A02!$J$21,[26]A02!$L$21,[26]A02!$N$21,[26]A02!$P$21,[26]A02!$R$21,[26]A02!$T$21,[26]A02!$V$21,[26]A02!$X$21)</f>
        <v>37</v>
      </c>
      <c r="I9" s="796">
        <f>SUM([27]A02!$H$21,[27]A02!$J$21,[27]A02!$L$21,[27]A02!$N$21,[27]A02!$P$21,[27]A02!$R$21,[27]A02!$T$21,[27]A02!$V$21,[27]A02!$X$21)</f>
        <v>34</v>
      </c>
      <c r="J9" s="796">
        <f>SUM([28]A02!$H$21,[28]A02!$J$21,[28]A02!$L$21,[28]A02!$N$21,[28]A02!$P$21,[28]A02!$R$21,[28]A02!$T$21,[28]A02!$V$21,[28]A02!$X$21)</f>
        <v>30</v>
      </c>
      <c r="K9" s="796">
        <f>SUM([29]A02!$H$21,[29]A02!$J$21,[29]A02!$L$21,[29]A02!$N$21,[29]A02!$P$21,[29]A02!$R$21,[29]A02!$T$21,[29]A02!$V$21,[29]A02!$X$21)</f>
        <v>31</v>
      </c>
      <c r="L9" s="256"/>
      <c r="M9" s="434"/>
      <c r="N9" s="434"/>
      <c r="O9" s="434"/>
      <c r="P9" s="434"/>
      <c r="Q9" s="262">
        <f t="shared" si="0"/>
        <v>365</v>
      </c>
      <c r="R9" s="735"/>
      <c r="S9" s="611">
        <f>SUM([23]A02!$G$21,[23]A02!$I$21,[23]A02!$K$21,[23]A02!$M$21,[23]A02!$O$21,[23]A02!$Q$21,[23]A02!$S$21,[23]A02!$U$21,[23]A02!$W$21)</f>
        <v>58</v>
      </c>
      <c r="T9" s="611">
        <f>SUM([24]A02!$G$21,[24]A02!$I$21,[24]A02!$K$21,[24]A02!$M$21,[24]A02!$O$21,[24]A02!$Q$21,[24]A02!$S$21,[24]A02!$U$21,[24]A02!$W$21)</f>
        <v>28</v>
      </c>
      <c r="U9" s="611">
        <f>SUM([25]A02!$G$21,[25]A02!$I$21,[25]A02!$K$21,[25]A02!$M$21,[25]A02!$O$21,[25]A02!$Q$21,[25]A02!$S$21,[25]A02!$U$21,[25]A02!$W$21)</f>
        <v>6</v>
      </c>
      <c r="V9" s="611">
        <f>SUM([26]A02!$G$21,[26]A02!$I$21,[26]A02!$K$21,[26]A02!$M$21,[26]A02!$O$21,[26]A02!$Q$21,[26]A02!$S$21,[26]A02!$U$21,[26]A02!$W$21)</f>
        <v>12</v>
      </c>
      <c r="W9" s="611">
        <f>SUM([27]A02!$G$21,[27]A02!$I$21,[27]A02!$K$21,[27]A02!$M$21,[27]A02!$O$21,[27]A02!$Q$21,[27]A02!$S$21,[27]A02!$U$21,[27]A02!$W$21)</f>
        <v>9</v>
      </c>
      <c r="X9" s="611">
        <f>SUM([28]A02!$G$21,[28]A02!$I$21,[28]A02!$K$21,[28]A02!$M$21,[28]A02!$O$21,[28]A02!$Q$21,[28]A02!$S$21,[28]A02!$U$21,[28]A02!$W$21)</f>
        <v>10</v>
      </c>
      <c r="Y9" s="611">
        <f>SUM([29]A02!$G$21,[29]A02!$I$21,[29]A02!$K$21,[29]A02!$M$21,[29]A02!$O$21,[29]A02!$Q$21,[29]A02!$S$21,[29]A02!$U$21,[29]A02!$W$21)</f>
        <v>16</v>
      </c>
      <c r="Z9" s="256"/>
      <c r="AA9" s="434"/>
      <c r="AB9" s="434"/>
      <c r="AC9" s="434"/>
      <c r="AD9" s="434"/>
      <c r="AE9" s="262">
        <f t="shared" si="1"/>
        <v>139</v>
      </c>
      <c r="AF9" s="735"/>
      <c r="AG9" s="735"/>
      <c r="AH9" s="735"/>
      <c r="AI9" s="256"/>
      <c r="AJ9" s="256"/>
      <c r="AK9" s="256"/>
      <c r="AL9" s="611">
        <f>SUM([23]A02!$Y$21:$AF$21)</f>
        <v>126</v>
      </c>
      <c r="AM9" s="611">
        <f>SUM([24]A02!$Y$21:$AF$21)</f>
        <v>52</v>
      </c>
      <c r="AN9" s="611">
        <f>SUM([25]A02!$Y$21:$AF$21)</f>
        <v>82</v>
      </c>
      <c r="AO9" s="611">
        <f>SUM([26]A02!$Y$21:$AF$21)</f>
        <v>89</v>
      </c>
      <c r="AP9" s="611">
        <f>SUM([27]A02!$Y$21:$AF$21)</f>
        <v>96</v>
      </c>
      <c r="AQ9" s="611">
        <f>SUM([28]A02!$Y$21:$AF$21)</f>
        <v>77</v>
      </c>
      <c r="AR9" s="611">
        <f>SUM([29]A02!$Y$21:$AF$21)</f>
        <v>103</v>
      </c>
      <c r="AS9" s="256"/>
      <c r="AT9" s="434"/>
      <c r="AU9" s="434"/>
      <c r="AV9" s="434"/>
      <c r="AW9" s="434"/>
      <c r="AX9" s="262">
        <f t="shared" si="2"/>
        <v>625</v>
      </c>
      <c r="AY9" s="256"/>
      <c r="AZ9" s="796">
        <f>[23]A05!$C$13</f>
        <v>19</v>
      </c>
      <c r="BA9" s="611">
        <f>[24]A05!$C$13</f>
        <v>11</v>
      </c>
      <c r="BB9" s="611">
        <f>[25]A05!$C$13</f>
        <v>11</v>
      </c>
      <c r="BC9" s="611">
        <f>[26]A05!$C$13</f>
        <v>16</v>
      </c>
      <c r="BD9" s="611">
        <f>[27]A05!$C$13</f>
        <v>9</v>
      </c>
      <c r="BE9" s="611">
        <f>[28]A05!$C$13</f>
        <v>12</v>
      </c>
      <c r="BF9" s="611">
        <f>[29]A05!$C$13</f>
        <v>11</v>
      </c>
      <c r="BG9" s="256"/>
      <c r="BH9" s="434"/>
      <c r="BI9" s="434"/>
      <c r="BJ9" s="434"/>
      <c r="BK9" s="434"/>
      <c r="BL9" s="262">
        <f t="shared" si="3"/>
        <v>89</v>
      </c>
      <c r="BM9" s="256"/>
      <c r="BN9" s="611">
        <f>[23]A05!$C$11</f>
        <v>24</v>
      </c>
      <c r="BO9" s="611">
        <f>[24]A05!$C$11</f>
        <v>11</v>
      </c>
      <c r="BP9" s="611">
        <f>[25]A05!$C$11</f>
        <v>14</v>
      </c>
      <c r="BQ9" s="611">
        <f>[26]A05!$C$11</f>
        <v>16</v>
      </c>
      <c r="BR9" s="611">
        <f>[27]A05!$C$11</f>
        <v>9</v>
      </c>
      <c r="BS9" s="611">
        <f>[28]A05!$C$11</f>
        <v>12</v>
      </c>
      <c r="BT9" s="611">
        <f>[29]A05!$C$11</f>
        <v>11</v>
      </c>
      <c r="BU9" s="256"/>
      <c r="BV9" s="434"/>
      <c r="BW9" s="434"/>
      <c r="BX9" s="434"/>
      <c r="BY9" s="434"/>
      <c r="BZ9" s="262">
        <f t="shared" si="4"/>
        <v>97</v>
      </c>
      <c r="CB9" s="611">
        <f>SUM([23]A03!$J$21:$M$24)</f>
        <v>6</v>
      </c>
      <c r="CC9" s="611">
        <f>SUM([24]A03!$J$21:$M$24)</f>
        <v>7</v>
      </c>
      <c r="CD9" s="611">
        <f>SUM([25]A03!$J$21:$M$24)</f>
        <v>19</v>
      </c>
      <c r="CE9" s="611">
        <f>SUM([26]A03!$J$21:$M$24)</f>
        <v>17</v>
      </c>
      <c r="CF9" s="611">
        <f>SUM([27]A03!$J$21:$M$24)</f>
        <v>9</v>
      </c>
      <c r="CG9" s="611">
        <f>SUM([28]A03!$J$21:$M$24)</f>
        <v>13</v>
      </c>
      <c r="CH9" s="611">
        <f>SUM([29]A03!$J$21:$M$24)</f>
        <v>13</v>
      </c>
      <c r="CI9" s="256"/>
      <c r="CJ9" s="434"/>
      <c r="CK9" s="434"/>
      <c r="CL9" s="434"/>
      <c r="CM9" s="434"/>
      <c r="CN9" s="262">
        <f t="shared" si="5"/>
        <v>84</v>
      </c>
      <c r="CO9" s="256"/>
      <c r="CP9" s="611">
        <f>SUM([23]A26!$C$10:$C$35,[23]A26!$C$40:$E$41,[23]A33!$B$44)</f>
        <v>45</v>
      </c>
      <c r="CQ9" s="611">
        <f>SUM([24]A26!$C$10:$C$35,[24]A26!$C$40:$E$41,[24]A33!$B$44)</f>
        <v>44</v>
      </c>
      <c r="CR9" s="611">
        <f>SUM([25]A26!$C$10:$C$35,[25]A26!$C$40:$E$41,[25]A33!$B$44)</f>
        <v>36</v>
      </c>
      <c r="CS9" s="611">
        <f>SUM([26]A26!$C$10:$C$35,[26]A26!$C$40:$E$41,[26]A33!$B$44)</f>
        <v>55</v>
      </c>
      <c r="CT9" s="611">
        <f>SUM([27]A26!$C$10:$C$35,[27]A26!$C$40:$E$41,[27]A33!$B$44)</f>
        <v>60</v>
      </c>
      <c r="CU9" s="611">
        <f>SUM([28]A26!$C$10:$C$35,[28]A26!$C$40:$E$41,[28]A33!$B$44)</f>
        <v>81</v>
      </c>
      <c r="CV9" s="611">
        <f>SUM([29]A26!$C$10:$C$35,[29]A26!$C$40:$E$41,[29]A33!$B$44)</f>
        <v>77</v>
      </c>
      <c r="CW9" s="256"/>
      <c r="CX9" s="434"/>
      <c r="CY9" s="434"/>
      <c r="CZ9" s="434"/>
      <c r="DA9" s="434"/>
      <c r="DB9" s="262">
        <f t="shared" si="6"/>
        <v>398</v>
      </c>
      <c r="DC9" s="611">
        <f>SUM([23]A01!$C$74,[23]A01!$F$74,[23]A32!$B$186:$B$187,[23]A32!$E$186:$E$187)</f>
        <v>29</v>
      </c>
      <c r="DD9" s="611">
        <f>SUM([24]A01!$C$74,[24]A01!$F$74,[24]A32!$B$186:$B$187,[24]A32!$E$186:$E$187)</f>
        <v>26</v>
      </c>
      <c r="DE9" s="611">
        <f>SUM([25]A01!$C$74,[25]A01!$F$74,[25]A32!$B$186:$B$187,[25]A32!$E$186:$E$187)</f>
        <v>15</v>
      </c>
      <c r="DF9" s="611">
        <f>SUM([26]A01!$C$74,[26]A01!$F$74,[26]A32!$B$186:$B$187,[26]A32!$E$186:$E$187)</f>
        <v>42</v>
      </c>
      <c r="DG9" s="611">
        <f>SUM([27]A01!$C$74,[27]A01!$F$74,[27]A32!$B$186:$B$187,[27]A32!$E$186:$E$187)</f>
        <v>56</v>
      </c>
      <c r="DH9" s="611">
        <f>SUM([28]A01!$C$74,[28]A01!$F$74,[28]A32!$B$186:$B$187,[28]A32!$E$186:$E$187)</f>
        <v>68</v>
      </c>
      <c r="DI9" s="611">
        <f>SUM([29]A01!$C$74,[29]A01!$F$74,[29]A32!$B$186:$B$187,[29]A32!$E$186:$E$187)</f>
        <v>45</v>
      </c>
      <c r="DJ9" s="256"/>
      <c r="DK9" s="434"/>
      <c r="DL9" s="434"/>
      <c r="DM9" s="434"/>
      <c r="DN9" s="434"/>
      <c r="DO9" s="262">
        <f t="shared" si="7"/>
        <v>281</v>
      </c>
      <c r="DP9" s="256"/>
    </row>
    <row r="10" spans="2:214" s="258" customFormat="1" ht="12" x14ac:dyDescent="0.2">
      <c r="B10" s="263">
        <v>107357</v>
      </c>
      <c r="C10" s="151" t="s">
        <v>99</v>
      </c>
      <c r="E10" s="796">
        <f>SUM([30]A02!$H$21,[30]A02!$J$21,[30]A02!$L$21,[30]A02!$N$21,[30]A02!$P$21,[30]A02!$R$21,[30]A02!$T$21,[30]A02!$V$21,[30]A02!$X$21)</f>
        <v>68</v>
      </c>
      <c r="F10" s="796">
        <f>SUM([31]A02!$H$21,[31]A02!$J$21,[31]A02!$L$21,[31]A02!$N$21,[31]A02!$P$21,[31]A02!$R$21,[31]A02!$T$21,[31]A02!$V$21,[31]A02!$X$21)</f>
        <v>7</v>
      </c>
      <c r="G10" s="796">
        <f>SUM([32]A02!$H$21,[32]A02!$J$21,[32]A02!$L$21,[32]A02!$N$21,[32]A02!$P$21,[32]A02!$R$21,[32]A02!$T$21,[32]A02!$V$21,[32]A02!$X$21)</f>
        <v>88</v>
      </c>
      <c r="H10" s="796">
        <f>SUM([33]A02!$H$21,[33]A02!$J$21,[33]A02!$L$21,[33]A02!$N$21,[33]A02!$P$21,[33]A02!$R$21,[33]A02!$T$21,[33]A02!$V$21,[33]A02!$X$21)</f>
        <v>141</v>
      </c>
      <c r="I10" s="796">
        <f>SUM([34]A02!$H$21,[34]A02!$J$21,[34]A02!$L$21,[34]A02!$N$21,[34]A02!$P$21,[34]A02!$R$21,[34]A02!$T$21,[34]A02!$V$21,[34]A02!$X$21)</f>
        <v>82</v>
      </c>
      <c r="J10" s="796">
        <f>SUM([35]A02!$H$21,[35]A02!$J$21,[35]A02!$L$21,[35]A02!$N$21,[35]A02!$P$21,[35]A02!$R$21,[35]A02!$T$21,[35]A02!$V$21,[35]A02!$X$21)</f>
        <v>60</v>
      </c>
      <c r="K10" s="796">
        <f>SUM([36]A02!$H$21,[36]A02!$J$21,[36]A02!$L$21,[36]A02!$N$21,[36]A02!$P$21,[36]A02!$R$21,[36]A02!$T$21,[36]A02!$V$21,[36]A02!$X$21)</f>
        <v>23</v>
      </c>
      <c r="L10" s="256"/>
      <c r="M10" s="434"/>
      <c r="N10" s="434"/>
      <c r="O10" s="434"/>
      <c r="P10" s="434"/>
      <c r="Q10" s="262">
        <f t="shared" si="0"/>
        <v>469</v>
      </c>
      <c r="R10" s="735"/>
      <c r="S10" s="611">
        <f>SUM([30]A02!$G$21,[30]A02!$I$21,[30]A02!$K$21,[30]A02!$M$21,[30]A02!$O$21,[30]A02!$Q$21,[30]A02!$S$21,[30]A02!$U$21,[30]A02!$W$21)</f>
        <v>27</v>
      </c>
      <c r="T10" s="611">
        <f>SUM([31]A02!$G$21,[31]A02!$I$21,[31]A02!$K$21,[31]A02!$M$21,[31]A02!$O$21,[31]A02!$Q$21,[31]A02!$S$21,[31]A02!$U$21,[31]A02!$W$21)</f>
        <v>3</v>
      </c>
      <c r="U10" s="611">
        <f>SUM([32]A02!$G$21,[32]A02!$I$21,[32]A02!$K$21,[32]A02!$M$21,[32]A02!$O$21,[32]A02!$Q$21,[32]A02!$S$21,[32]A02!$U$21,[32]A02!$W$21)</f>
        <v>15</v>
      </c>
      <c r="V10" s="611">
        <f>SUM([33]A02!$G$21,[33]A02!$I$21,[33]A02!$K$21,[33]A02!$M$21,[33]A02!$O$21,[33]A02!$Q$21,[33]A02!$S$21,[33]A02!$U$21,[33]A02!$W$21)</f>
        <v>64</v>
      </c>
      <c r="W10" s="611">
        <f>SUM([34]A02!$G$21,[34]A02!$I$21,[34]A02!$K$21,[34]A02!$M$21,[34]A02!$O$21,[34]A02!$Q$21,[34]A02!$S$21,[34]A02!$U$21,[34]A02!$W$21)</f>
        <v>41</v>
      </c>
      <c r="X10" s="611">
        <f>SUM([35]A02!$G$21,[35]A02!$I$21,[35]A02!$K$21,[35]A02!$M$21,[35]A02!$O$21,[35]A02!$Q$21,[35]A02!$S$21,[35]A02!$U$21,[35]A02!$W$21)</f>
        <v>38</v>
      </c>
      <c r="Y10" s="611">
        <f>SUM([36]A02!$G$21,[36]A02!$I$21,[36]A02!$K$21,[36]A02!$M$21,[36]A02!$O$21,[36]A02!$Q$21,[36]A02!$S$21,[36]A02!$U$21,[36]A02!$W$21)</f>
        <v>11</v>
      </c>
      <c r="Z10" s="256"/>
      <c r="AA10" s="434"/>
      <c r="AB10" s="434"/>
      <c r="AC10" s="434"/>
      <c r="AD10" s="434"/>
      <c r="AE10" s="262">
        <f t="shared" si="1"/>
        <v>199</v>
      </c>
      <c r="AF10" s="735"/>
      <c r="AG10" s="735"/>
      <c r="AH10" s="735"/>
      <c r="AI10" s="256"/>
      <c r="AJ10" s="256"/>
      <c r="AK10" s="256"/>
      <c r="AL10" s="611">
        <f>SUM([30]A02!$Y$21:$AF$21)</f>
        <v>195</v>
      </c>
      <c r="AM10" s="611">
        <f>SUM([31]A02!$Y$21:$AF$21)</f>
        <v>54</v>
      </c>
      <c r="AN10" s="611">
        <f>SUM([32]A02!$Y$21:$AF$21)</f>
        <v>38</v>
      </c>
      <c r="AO10" s="611">
        <f>SUM([33]A02!$Y$21:$AF$21)</f>
        <v>79</v>
      </c>
      <c r="AP10" s="611">
        <f>SUM([34]A02!$Y$21:$AF$21)</f>
        <v>117</v>
      </c>
      <c r="AQ10" s="611">
        <f>SUM([35]A02!$Y$21:$AF$21)</f>
        <v>99</v>
      </c>
      <c r="AR10" s="611">
        <f>SUM([36]A02!$Y$21:$AF$21)</f>
        <v>80</v>
      </c>
      <c r="AS10" s="256"/>
      <c r="AT10" s="434"/>
      <c r="AU10" s="434"/>
      <c r="AV10" s="434"/>
      <c r="AW10" s="434"/>
      <c r="AX10" s="262">
        <f t="shared" si="2"/>
        <v>662</v>
      </c>
      <c r="AY10" s="256"/>
      <c r="AZ10" s="611">
        <f>[30]A05!$C$13</f>
        <v>16</v>
      </c>
      <c r="BA10" s="611">
        <f>[31]A05!$C$13</f>
        <v>17</v>
      </c>
      <c r="BB10" s="611">
        <f>[32]A05!$C$13</f>
        <v>11</v>
      </c>
      <c r="BC10" s="611">
        <f>[33]A05!$C$13</f>
        <v>5</v>
      </c>
      <c r="BD10" s="611">
        <f>[34]A05!$C$13</f>
        <v>6</v>
      </c>
      <c r="BE10" s="611">
        <f>[35]A05!$C$13</f>
        <v>14</v>
      </c>
      <c r="BF10" s="611">
        <f>[36]A05!$C$13</f>
        <v>8</v>
      </c>
      <c r="BG10" s="256"/>
      <c r="BH10" s="434"/>
      <c r="BI10" s="434"/>
      <c r="BJ10" s="434"/>
      <c r="BK10" s="434"/>
      <c r="BL10" s="262">
        <f t="shared" si="3"/>
        <v>77</v>
      </c>
      <c r="BM10" s="256"/>
      <c r="BN10" s="611">
        <f>[30]A05!$C$11</f>
        <v>16</v>
      </c>
      <c r="BO10" s="611">
        <f>[31]A05!$C$11</f>
        <v>17</v>
      </c>
      <c r="BP10" s="611">
        <f>[32]A05!$C$11</f>
        <v>12</v>
      </c>
      <c r="BQ10" s="611">
        <f>[33]A05!$C$11</f>
        <v>8</v>
      </c>
      <c r="BR10" s="611">
        <f>[34]A05!$C$11</f>
        <v>12</v>
      </c>
      <c r="BS10" s="611">
        <f>[35]A05!$C$11</f>
        <v>16</v>
      </c>
      <c r="BT10" s="611">
        <f>[36]A05!$C$11</f>
        <v>10</v>
      </c>
      <c r="BU10" s="256"/>
      <c r="BV10" s="434"/>
      <c r="BW10" s="434"/>
      <c r="BX10" s="434"/>
      <c r="BY10" s="434"/>
      <c r="BZ10" s="262">
        <f t="shared" si="4"/>
        <v>91</v>
      </c>
      <c r="CB10" s="611">
        <f>SUM([30]A03!$J$21:$M$24)</f>
        <v>14</v>
      </c>
      <c r="CC10" s="611">
        <f>SUM([31]A03!$J$21:$M$24)</f>
        <v>10</v>
      </c>
      <c r="CD10" s="611">
        <f>SUM([32]A03!$J$21:$M$24)</f>
        <v>11</v>
      </c>
      <c r="CE10" s="611">
        <f>SUM([33]A03!$J$21:$M$24)</f>
        <v>10</v>
      </c>
      <c r="CF10" s="611">
        <f>SUM([34]A03!$J$21:$M$24)</f>
        <v>3</v>
      </c>
      <c r="CG10" s="611">
        <f>SUM([35]A03!$J$21:$M$24)</f>
        <v>20</v>
      </c>
      <c r="CH10" s="611">
        <f>SUM([36]A03!$J$21:$M$24)</f>
        <v>4</v>
      </c>
      <c r="CI10" s="256"/>
      <c r="CJ10" s="434"/>
      <c r="CK10" s="434"/>
      <c r="CL10" s="434"/>
      <c r="CM10" s="434"/>
      <c r="CN10" s="262">
        <f t="shared" si="5"/>
        <v>72</v>
      </c>
      <c r="CO10" s="256"/>
      <c r="CP10" s="611">
        <f>SUM([30]A26!$C$10:$C$35,[30]A26!$C$40:$E$41,[30]A33!$B$44)</f>
        <v>84</v>
      </c>
      <c r="CQ10" s="611">
        <f>SUM([31]A26!$C$10:$C$35,[31]A26!$C$40:$E$41,[31]A33!$B$44)</f>
        <v>37</v>
      </c>
      <c r="CR10" s="611">
        <f>SUM([32]A26!$C$10:$C$35,[32]A26!$C$40:$E$41,[32]A33!$B$44)</f>
        <v>72</v>
      </c>
      <c r="CS10" s="611">
        <f>SUM([33]A26!$C$10:$C$35,[33]A26!$C$40:$E$41,[33]A33!$B$44)</f>
        <v>38</v>
      </c>
      <c r="CT10" s="611">
        <f>SUM([34]A26!$C$10:$C$35,[34]A26!$C$40:$E$41,[34]A33!$B$44)</f>
        <v>31</v>
      </c>
      <c r="CU10" s="611">
        <f>SUM([35]A26!$C$10:$C$35,[35]A26!$C$40:$E$41,[35]A33!$B$44)</f>
        <v>21</v>
      </c>
      <c r="CV10" s="611">
        <f>SUM([36]A26!$C$10:$C$35,[36]A26!$C$40:$E$41,[36]A33!$B$44)</f>
        <v>11</v>
      </c>
      <c r="CW10" s="256"/>
      <c r="CX10" s="434"/>
      <c r="CY10" s="434"/>
      <c r="CZ10" s="434"/>
      <c r="DA10" s="434"/>
      <c r="DB10" s="262">
        <f t="shared" si="6"/>
        <v>294</v>
      </c>
      <c r="DC10" s="793">
        <f>SUM([30]A01!$C$74,[30]A01!$F$74,[30]A32!$B$186:$B$187,[30]A32!$E$186:$E$187)</f>
        <v>18</v>
      </c>
      <c r="DD10" s="611">
        <f>SUM([31]A01!$C$74,[31]A01!$F$74,[31]A32!$B$186:$B$187,[31]A32!$E$186:$E$187)</f>
        <v>10</v>
      </c>
      <c r="DE10" s="611">
        <f>SUM([32]A01!$C$74,[32]A01!$F$74,[32]A32!$B$186:$B$187,[32]A32!$E$186:$E$187)</f>
        <v>22</v>
      </c>
      <c r="DF10" s="611">
        <f>SUM([33]A01!$C$74,[33]A01!$F$74,[33]A32!$B$186:$B$187,[33]A32!$E$186:$E$187)</f>
        <v>23</v>
      </c>
      <c r="DG10" s="611">
        <f>SUM([34]A01!$C$74,[34]A01!$F$74,[34]A32!$B$186:$B$187,[34]A32!$E$186:$E$187)</f>
        <v>51</v>
      </c>
      <c r="DH10" s="611">
        <f>SUM([35]A01!$C$74,[35]A01!$F$74,[35]A32!$B$186:$B$187,[35]A32!$E$186:$E$187)</f>
        <v>88</v>
      </c>
      <c r="DI10" s="611">
        <f>SUM([36]A01!$C$74,[36]A01!$F$74,[36]A32!$B$186:$B$187,[36]A32!$E$186:$E$187)</f>
        <v>36</v>
      </c>
      <c r="DJ10" s="256"/>
      <c r="DK10" s="434"/>
      <c r="DL10" s="434"/>
      <c r="DM10" s="434"/>
      <c r="DN10" s="434"/>
      <c r="DO10" s="262">
        <f t="shared" si="7"/>
        <v>248</v>
      </c>
      <c r="DP10" s="256"/>
    </row>
    <row r="11" spans="2:214" s="258" customFormat="1" ht="12" x14ac:dyDescent="0.2">
      <c r="B11" s="263">
        <v>107400</v>
      </c>
      <c r="C11" s="151" t="s">
        <v>100</v>
      </c>
      <c r="E11" s="796">
        <f>SUM([37]A02!$H$21,[37]A02!$J$21,[37]A02!$L$21,[37]A02!$N$21,[37]A02!$P$21,[37]A02!$R$21,[37]A02!$T$21,[37]A02!$V$21,[37]A02!$X$21)</f>
        <v>0</v>
      </c>
      <c r="F11" s="796">
        <f>SUM([38]A02!$H$21,[38]A02!$J$21,[38]A02!$L$21,[38]A02!$N$21,[38]A02!$P$21,[38]A02!$R$21,[38]A02!$T$21,[38]A02!$V$21,[38]A02!$X$21)</f>
        <v>1</v>
      </c>
      <c r="G11" s="796">
        <f>SUM([39]A02!$H$21,[39]A02!$J$21,[39]A02!$L$21,[39]A02!$N$21,[39]A02!$P$21,[39]A02!$R$21,[39]A02!$T$21,[39]A02!$V$21,[39]A02!$X$21)</f>
        <v>1</v>
      </c>
      <c r="H11" s="796">
        <f>SUM([40]A02!$H$21,[40]A02!$J$21,[40]A02!$L$21,[40]A02!$N$21,[40]A02!$P$21,[40]A02!$R$21,[40]A02!$T$21,[40]A02!$V$21,[40]A02!$X$21)</f>
        <v>2</v>
      </c>
      <c r="I11" s="796">
        <f>SUM([41]A02!$H$21,[41]A02!$J$21,[41]A02!$L$21,[41]A02!$N$21,[41]A02!$P$21,[41]A02!$R$21,[41]A02!$T$21,[41]A02!$V$21,[41]A02!$X$21)</f>
        <v>1</v>
      </c>
      <c r="J11" s="796">
        <f>SUM([42]A02!$H$21,[42]A02!$J$21,[42]A02!$L$21,[42]A02!$N$21,[42]A02!$P$21,[42]A02!$R$21,[42]A02!$T$21,[42]A02!$V$21,[42]A02!$X$21)</f>
        <v>2</v>
      </c>
      <c r="K11" s="796">
        <f>SUM([43]A02!$H$21,[43]A02!$J$21,[43]A02!$L$21,[43]A02!$N$21,[43]A02!$P$21,[43]A02!$R$21,[43]A02!$T$21,[43]A02!$V$21,[43]A02!$X$21)</f>
        <v>0</v>
      </c>
      <c r="L11" s="256"/>
      <c r="M11" s="434"/>
      <c r="N11" s="434"/>
      <c r="O11" s="434"/>
      <c r="P11" s="434"/>
      <c r="Q11" s="262">
        <f t="shared" si="0"/>
        <v>7</v>
      </c>
      <c r="R11" s="735"/>
      <c r="S11" s="611">
        <f>SUM([37]A02!$G$21,[37]A02!$I$21,[37]A02!$K$21,[37]A02!$M$21,[37]A02!$O$21,[37]A02!$Q$21,[37]A02!$S$21,[37]A02!$U$21,[37]A02!$W$21)</f>
        <v>0</v>
      </c>
      <c r="T11" s="611">
        <f>SUM([38]A02!$G$21,[38]A02!$I$21,[38]A02!$K$21,[38]A02!$M$21,[38]A02!$O$21,[38]A02!$Q$21,[38]A02!$S$21,[38]A02!$U$21,[38]A02!$W$21)</f>
        <v>0</v>
      </c>
      <c r="U11" s="611">
        <f>SUM([39]A02!$G$21,[39]A02!$I$21,[39]A02!$K$21,[39]A02!$M$21,[39]A02!$O$21,[39]A02!$Q$21,[39]A02!$S$21,[39]A02!$U$21,[39]A02!$W$21)</f>
        <v>1</v>
      </c>
      <c r="V11" s="611">
        <f>SUM([40]A02!$G$21,[40]A02!$I$21,[40]A02!$K$21,[40]A02!$M$21,[40]A02!$O$21,[40]A02!$Q$21,[40]A02!$S$21,[40]A02!$U$21,[40]A02!$W$21)</f>
        <v>3</v>
      </c>
      <c r="W11" s="611">
        <f>SUM([41]A02!$G$21,[41]A02!$I$21,[41]A02!$K$21,[41]A02!$M$21,[41]A02!$O$21,[41]A02!$Q$21,[41]A02!$S$21,[41]A02!$U$21,[41]A02!$W$21)</f>
        <v>1</v>
      </c>
      <c r="X11" s="611">
        <f>SUM([42]A02!$G$21,[42]A02!$I$21,[42]A02!$K$21,[42]A02!$M$21,[42]A02!$O$21,[42]A02!$Q$21,[42]A02!$S$21,[42]A02!$U$21,[42]A02!$W$21)</f>
        <v>1</v>
      </c>
      <c r="Y11" s="611">
        <f>SUM([43]A02!$G$21,[43]A02!$I$21,[43]A02!$K$21,[43]A02!$M$21,[43]A02!$O$21,[43]A02!$Q$21,[43]A02!$S$21,[43]A02!$U$21,[43]A02!$W$21)</f>
        <v>4</v>
      </c>
      <c r="Z11" s="256"/>
      <c r="AA11" s="434"/>
      <c r="AB11" s="434"/>
      <c r="AC11" s="434"/>
      <c r="AD11" s="434"/>
      <c r="AE11" s="262">
        <f t="shared" si="1"/>
        <v>10</v>
      </c>
      <c r="AF11" s="735"/>
      <c r="AG11" s="735"/>
      <c r="AH11" s="735"/>
      <c r="AI11" s="256"/>
      <c r="AJ11" s="256"/>
      <c r="AK11" s="256"/>
      <c r="AL11" s="611">
        <f>SUM([37]A02!$Y$21:$AF$21)</f>
        <v>10</v>
      </c>
      <c r="AM11" s="611">
        <f>SUM([38]A02!$Y$21:$AF$21)</f>
        <v>3</v>
      </c>
      <c r="AN11" s="611">
        <f>SUM([39]A02!$Y$21:$AF$21)</f>
        <v>3</v>
      </c>
      <c r="AO11" s="611">
        <f>SUM([40]A02!$Y$21:$AF$21)</f>
        <v>12</v>
      </c>
      <c r="AP11" s="611">
        <f>SUM([41]A02!$Y$21:$AF$21)</f>
        <v>9</v>
      </c>
      <c r="AQ11" s="611">
        <f>SUM([42]A02!$Y$21:$AF$21)</f>
        <v>3</v>
      </c>
      <c r="AR11" s="611">
        <f>SUM([43]A02!$Y$21:$AF$21)</f>
        <v>19</v>
      </c>
      <c r="AS11" s="256"/>
      <c r="AT11" s="434"/>
      <c r="AU11" s="434"/>
      <c r="AV11" s="434"/>
      <c r="AW11" s="434"/>
      <c r="AX11" s="262">
        <f t="shared" si="2"/>
        <v>59</v>
      </c>
      <c r="AY11" s="256"/>
      <c r="AZ11" s="611">
        <f>[37]A05!$C$13</f>
        <v>0</v>
      </c>
      <c r="BA11" s="611">
        <f>[38]A05!$C$13</f>
        <v>1</v>
      </c>
      <c r="BB11" s="611">
        <f>[39]A05!$C$13</f>
        <v>0</v>
      </c>
      <c r="BC11" s="611">
        <f>[40]A05!$C$13</f>
        <v>0</v>
      </c>
      <c r="BD11" s="611">
        <f>[41]A05!$C$13</f>
        <v>0</v>
      </c>
      <c r="BE11" s="611">
        <f>[42]A05!$C$13</f>
        <v>0</v>
      </c>
      <c r="BF11" s="611">
        <f>[43]A05!$C$13</f>
        <v>0</v>
      </c>
      <c r="BG11" s="256"/>
      <c r="BH11" s="434"/>
      <c r="BI11" s="434"/>
      <c r="BJ11" s="434"/>
      <c r="BK11" s="434"/>
      <c r="BL11" s="262">
        <f t="shared" si="3"/>
        <v>1</v>
      </c>
      <c r="BM11" s="256"/>
      <c r="BN11" s="611">
        <f>[37]A05!$C$11</f>
        <v>0</v>
      </c>
      <c r="BO11" s="611">
        <f>[38]A05!$C$11</f>
        <v>1</v>
      </c>
      <c r="BP11" s="611">
        <f>[39]A05!$C$11</f>
        <v>0</v>
      </c>
      <c r="BQ11" s="611">
        <f>[40]A05!$C$11</f>
        <v>0</v>
      </c>
      <c r="BR11" s="611">
        <f>[41]A05!$C$11</f>
        <v>0</v>
      </c>
      <c r="BS11" s="611">
        <f>[42]A05!$C$11</f>
        <v>0</v>
      </c>
      <c r="BT11" s="611">
        <f>[43]A05!$C$11</f>
        <v>0</v>
      </c>
      <c r="BU11" s="256"/>
      <c r="BV11" s="434"/>
      <c r="BW11" s="434"/>
      <c r="BX11" s="434"/>
      <c r="BY11" s="434"/>
      <c r="BZ11" s="262">
        <f t="shared" si="4"/>
        <v>1</v>
      </c>
      <c r="CB11" s="611">
        <f>SUM([37]A03!$J$21:$M$24)</f>
        <v>0</v>
      </c>
      <c r="CC11" s="611">
        <f>SUM([38]A03!$J$21:$M$24)</f>
        <v>0</v>
      </c>
      <c r="CD11" s="611">
        <f>SUM([39]A03!$J$21:$M$24)</f>
        <v>1</v>
      </c>
      <c r="CE11" s="611">
        <f>SUM([40]A03!$J$21:$M$24)</f>
        <v>0</v>
      </c>
      <c r="CF11" s="611">
        <f>SUM([41]A03!$J$21:$M$24)</f>
        <v>0</v>
      </c>
      <c r="CG11" s="611">
        <f>SUM([42]A03!$J$21:$M$24)</f>
        <v>0</v>
      </c>
      <c r="CH11" s="611">
        <f>SUM([43]A03!$J$21:$M$24)</f>
        <v>0</v>
      </c>
      <c r="CI11" s="256"/>
      <c r="CJ11" s="434"/>
      <c r="CK11" s="434"/>
      <c r="CL11" s="434"/>
      <c r="CM11" s="434"/>
      <c r="CN11" s="262">
        <f t="shared" si="5"/>
        <v>1</v>
      </c>
      <c r="CO11" s="256"/>
      <c r="CP11" s="611">
        <f>SUM([37]A26!$C$10:$C$35,[37]A26!$C$40:$E$41,[37]A33!$B$44)</f>
        <v>2</v>
      </c>
      <c r="CQ11" s="611">
        <f>SUM([38]A26!$C$10:$C$35,[38]A26!$C$40:$E$41,[38]A33!$B$44)</f>
        <v>0</v>
      </c>
      <c r="CR11" s="611">
        <f>SUM([39]A26!$C$10:$C$35,[39]A26!$C$40:$E$41,[39]A33!$B$44)</f>
        <v>1</v>
      </c>
      <c r="CS11" s="611">
        <f>SUM([40]A26!$C$10:$C$35,[40]A26!$C$40:$E$41,[40]A33!$B$44)</f>
        <v>3</v>
      </c>
      <c r="CT11" s="611">
        <f>SUM([41]A26!$C$10:$C$35,[41]A26!$C$40:$E$41,[41]A33!$B$44)</f>
        <v>0</v>
      </c>
      <c r="CU11" s="611">
        <f>SUM([42]A26!$C$10:$C$35,[42]A26!$C$40:$E$41,[42]A33!$B$44)</f>
        <v>0</v>
      </c>
      <c r="CV11" s="611">
        <f>SUM([43]A26!$C$10:$C$35,[43]A26!$C$40:$E$41,[43]A33!$B$44)</f>
        <v>0</v>
      </c>
      <c r="CW11" s="256"/>
      <c r="CX11" s="434"/>
      <c r="CY11" s="434"/>
      <c r="CZ11" s="434"/>
      <c r="DA11" s="434"/>
      <c r="DB11" s="262">
        <f t="shared" si="6"/>
        <v>6</v>
      </c>
      <c r="DC11" s="611">
        <f>SUM([37]A01!$C$74,[37]A01!$F$74,[37]A32!$B$186:$B$187,[37]A32!$E$186:$E$187)</f>
        <v>3</v>
      </c>
      <c r="DD11" s="611">
        <f>SUM([38]A01!$C$74,[38]A01!$F$74,[38]A32!$B$186:$B$187,[38]A32!$E$186:$E$187)</f>
        <v>0</v>
      </c>
      <c r="DE11" s="611">
        <f>SUM([39]A01!$C$74,[39]A01!$F$74,[39]A32!$B$186:$B$187,[39]A32!$E$186:$E$187)</f>
        <v>1</v>
      </c>
      <c r="DF11" s="611">
        <f>SUM([40]A01!$C$74,[40]A01!$F$74,[40]A32!$B$186:$B$187,[40]A32!$E$186:$E$187)</f>
        <v>0</v>
      </c>
      <c r="DG11" s="611">
        <f>SUM([41]A01!$C$74,[41]A01!$F$74,[41]A32!$B$186:$B$187,[41]A32!$E$186:$E$187)</f>
        <v>0</v>
      </c>
      <c r="DH11" s="611">
        <f>SUM([42]A01!$C$74,[42]A01!$F$74,[42]A32!$B$186:$B$187,[42]A32!$E$186:$E$187)</f>
        <v>0</v>
      </c>
      <c r="DI11" s="611">
        <f>SUM([43]A01!$C$74,[43]A01!$F$74,[43]A32!$B$186:$B$187,[43]A32!$E$186:$E$187)</f>
        <v>0</v>
      </c>
      <c r="DJ11" s="256"/>
      <c r="DK11" s="434"/>
      <c r="DL11" s="434"/>
      <c r="DM11" s="434"/>
      <c r="DN11" s="434"/>
      <c r="DO11" s="262">
        <f t="shared" si="7"/>
        <v>4</v>
      </c>
      <c r="DP11" s="256"/>
    </row>
    <row r="12" spans="2:214" s="258" customFormat="1" thickBot="1" x14ac:dyDescent="0.25">
      <c r="B12" s="265">
        <v>107756</v>
      </c>
      <c r="C12" s="153" t="s">
        <v>101</v>
      </c>
      <c r="D12" s="264"/>
      <c r="E12" s="796">
        <f>SUM([44]A02!$H$21,[44]A02!$J$21,[44]A02!$L$21,[44]A02!$N$21,[44]A02!$P$21,[44]A02!$R$21,[44]A02!$T$21,[44]A02!$V$21,[44]A02!$X$21)</f>
        <v>4</v>
      </c>
      <c r="F12" s="796">
        <f>SUM([45]A02!$H$21,[45]A02!$J$21,[45]A02!$L$21,[45]A02!$N$21,[45]A02!$P$21,[45]A02!$R$21,[45]A02!$T$21,[45]A02!$V$21,[45]A02!$X$21)</f>
        <v>3</v>
      </c>
      <c r="G12" s="796">
        <f>SUM([46]A02!$H$21,[46]A02!$J$21,[46]A02!$L$21,[46]A02!$N$21,[46]A02!$P$21,[46]A02!$R$21,[46]A02!$T$21,[46]A02!$V$21,[46]A02!$X$21)</f>
        <v>7</v>
      </c>
      <c r="H12" s="796">
        <f>SUM([47]A02!$H$21,[47]A02!$J$21,[47]A02!$L$21,[47]A02!$N$21,[47]A02!$P$21,[47]A02!$R$21,[47]A02!$T$21,[47]A02!$V$21,[47]A02!$X$21)</f>
        <v>0</v>
      </c>
      <c r="I12" s="796">
        <f>SUM([48]A02!$H$21,[48]A02!$J$21,[48]A02!$L$21,[48]A02!$N$21,[48]A02!$P$21,[48]A02!$R$21,[48]A02!$T$21,[48]A02!$V$21,[48]A02!$X$21)</f>
        <v>1</v>
      </c>
      <c r="J12" s="796">
        <f>SUM([49]A02!$H$21,[49]A02!$J$21,[49]A02!$L$21,[49]A02!$N$21,[49]A02!$P$21,[49]A02!$R$21,[49]A02!$T$21,[49]A02!$V$21,[49]A02!$X$21)</f>
        <v>15</v>
      </c>
      <c r="K12" s="796">
        <f>SUM([50]A02!$H$21,[50]A02!$J$21,[50]A02!$L$21,[50]A02!$N$21,[50]A02!$P$21,[50]A02!$R$21,[50]A02!$T$21,[50]A02!$V$21,[50]A02!$X$21)</f>
        <v>15</v>
      </c>
      <c r="L12" s="256"/>
      <c r="M12" s="434"/>
      <c r="N12" s="434"/>
      <c r="O12" s="434"/>
      <c r="P12" s="434"/>
      <c r="Q12" s="262">
        <f t="shared" si="0"/>
        <v>45</v>
      </c>
      <c r="R12" s="735"/>
      <c r="S12" s="611">
        <f>SUM([44]A02!$G$21,[44]A02!$I$21,[44]A02!$K$21,[44]A02!$M$21,[44]A02!$O$21,[44]A02!$Q$21,[44]A02!$S$21,[44]A02!$U$21,[44]A02!$W$21)</f>
        <v>1</v>
      </c>
      <c r="T12" s="611">
        <f>SUM([45]A02!$G$21,[45]A02!$I$21,[45]A02!$K$21,[45]A02!$M$21,[45]A02!$O$21,[45]A02!$Q$21,[45]A02!$S$21,[45]A02!$U$21,[45]A02!$W$21)</f>
        <v>0</v>
      </c>
      <c r="U12" s="611">
        <f>SUM([46]A02!$G$21,[46]A02!$I$21,[46]A02!$K$21,[46]A02!$M$21,[46]A02!$O$21,[46]A02!$Q$21,[46]A02!$S$21,[46]A02!$U$21,[46]A02!$W$21)</f>
        <v>2</v>
      </c>
      <c r="V12" s="611">
        <f>SUM([47]A02!$G$21,[47]A02!$I$21,[47]A02!$K$21,[47]A02!$M$21,[47]A02!$O$21,[47]A02!$Q$21,[47]A02!$S$21,[47]A02!$U$21,[47]A02!$W$21)</f>
        <v>1</v>
      </c>
      <c r="W12" s="611">
        <f>SUM([48]A02!$G$21,[48]A02!$I$21,[48]A02!$K$21,[48]A02!$M$21,[48]A02!$O$21,[48]A02!$Q$21,[48]A02!$S$21,[48]A02!$U$21,[48]A02!$W$21)</f>
        <v>0</v>
      </c>
      <c r="X12" s="611">
        <f>SUM([49]A02!$G$21,[49]A02!$I$21,[49]A02!$K$21,[49]A02!$M$21,[49]A02!$O$21,[49]A02!$Q$21,[49]A02!$S$21,[49]A02!$U$21,[49]A02!$W$21)</f>
        <v>3</v>
      </c>
      <c r="Y12" s="611">
        <f>SUM([50]A02!$G$21,[50]A02!$I$21,[50]A02!$K$21,[50]A02!$M$21,[50]A02!$O$21,[50]A02!$Q$21,[50]A02!$S$21,[50]A02!$U$21,[50]A02!$W$21)</f>
        <v>5</v>
      </c>
      <c r="Z12" s="256"/>
      <c r="AA12" s="434"/>
      <c r="AB12" s="434"/>
      <c r="AC12" s="434"/>
      <c r="AD12" s="434"/>
      <c r="AE12" s="262">
        <f t="shared" si="1"/>
        <v>12</v>
      </c>
      <c r="AF12" s="735"/>
      <c r="AG12" s="735"/>
      <c r="AH12" s="735"/>
      <c r="AI12" s="256"/>
      <c r="AJ12" s="256"/>
      <c r="AK12" s="256"/>
      <c r="AL12" s="611">
        <f>SUM([44]A02!$Y$21:$AF$21)</f>
        <v>0</v>
      </c>
      <c r="AM12" s="611">
        <f>SUM([45]A02!$Y$21:$AF$21)</f>
        <v>0</v>
      </c>
      <c r="AN12" s="611">
        <f>SUM([46]A02!$Y$21:$AF$21)</f>
        <v>0</v>
      </c>
      <c r="AO12" s="611">
        <f>SUM([47]A02!$Y$21:$AF$21)</f>
        <v>0</v>
      </c>
      <c r="AP12" s="611">
        <f>SUM([48]A02!$Y$21:$AF$21)</f>
        <v>0</v>
      </c>
      <c r="AQ12" s="611">
        <f>SUM([49]A02!$Y$21:$AF$21)</f>
        <v>0</v>
      </c>
      <c r="AR12" s="611">
        <f>SUM([50]A02!$Y$21:$AF$21)</f>
        <v>0</v>
      </c>
      <c r="AS12" s="256"/>
      <c r="AT12" s="434"/>
      <c r="AU12" s="434"/>
      <c r="AV12" s="434"/>
      <c r="AW12" s="434"/>
      <c r="AX12" s="262">
        <f t="shared" si="2"/>
        <v>0</v>
      </c>
      <c r="AY12" s="256"/>
      <c r="AZ12" s="611">
        <f>[44]A05!$C$13</f>
        <v>2</v>
      </c>
      <c r="BA12" s="611">
        <f>[45]A05!$C$13</f>
        <v>2</v>
      </c>
      <c r="BB12" s="611">
        <f>[46]A05!$C$13</f>
        <v>0</v>
      </c>
      <c r="BC12" s="611">
        <f>[47]A05!$C$13</f>
        <v>0</v>
      </c>
      <c r="BD12" s="611">
        <f>[48]A05!$C$13</f>
        <v>2</v>
      </c>
      <c r="BE12" s="611">
        <f>[49]A05!$C$13</f>
        <v>0</v>
      </c>
      <c r="BF12" s="611">
        <f>[50]A05!$C$13</f>
        <v>2</v>
      </c>
      <c r="BG12" s="256"/>
      <c r="BH12" s="434"/>
      <c r="BI12" s="434"/>
      <c r="BJ12" s="434"/>
      <c r="BK12" s="434"/>
      <c r="BL12" s="262">
        <f t="shared" si="3"/>
        <v>8</v>
      </c>
      <c r="BM12" s="256"/>
      <c r="BN12" s="611">
        <f>[44]A05!$C$11</f>
        <v>3</v>
      </c>
      <c r="BO12" s="611">
        <f>[45]A05!$C$11</f>
        <v>4</v>
      </c>
      <c r="BP12" s="611">
        <f>[46]A05!$C$11</f>
        <v>0</v>
      </c>
      <c r="BQ12" s="611">
        <f>[47]A05!$C$11</f>
        <v>2</v>
      </c>
      <c r="BR12" s="611">
        <f>[48]A05!$C$11</f>
        <v>2</v>
      </c>
      <c r="BS12" s="611">
        <f>[49]A05!$C$11</f>
        <v>0</v>
      </c>
      <c r="BT12" s="611">
        <f>[50]A05!$C$11</f>
        <v>4</v>
      </c>
      <c r="BU12" s="256"/>
      <c r="BV12" s="434"/>
      <c r="BW12" s="434"/>
      <c r="BX12" s="434"/>
      <c r="BY12" s="434"/>
      <c r="BZ12" s="262">
        <f t="shared" si="4"/>
        <v>15</v>
      </c>
      <c r="CB12" s="611">
        <f>SUM([44]A03!$J$21:$M$24)</f>
        <v>2</v>
      </c>
      <c r="CC12" s="611">
        <f>SUM([45]A03!$J$21:$M$24)</f>
        <v>0</v>
      </c>
      <c r="CD12" s="611">
        <f>SUM([46]A03!$J$21:$M$24)</f>
        <v>0</v>
      </c>
      <c r="CE12" s="611">
        <f>SUM([47]A03!$J$21:$M$24)</f>
        <v>8</v>
      </c>
      <c r="CF12" s="611">
        <f>SUM([48]A03!$J$21:$M$24)</f>
        <v>2</v>
      </c>
      <c r="CG12" s="611">
        <f>SUM([49]A03!$J$21:$M$24)</f>
        <v>3</v>
      </c>
      <c r="CH12" s="611">
        <f>SUM([50]A03!$J$21:$M$24)</f>
        <v>5</v>
      </c>
      <c r="CI12" s="256"/>
      <c r="CJ12" s="434"/>
      <c r="CK12" s="434"/>
      <c r="CL12" s="434"/>
      <c r="CM12" s="434"/>
      <c r="CN12" s="262">
        <f t="shared" si="5"/>
        <v>20</v>
      </c>
      <c r="CO12" s="256"/>
      <c r="CP12" s="611">
        <f>SUM([44]A26!$C$10:$C$35,[44]A26!$C$40:$E$41,[44]A33!$B$44)</f>
        <v>68</v>
      </c>
      <c r="CQ12" s="611">
        <f>SUM([45]A26!$C$10:$C$35,[45]A26!$C$40:$E$41,[45]A33!$B$44)</f>
        <v>18</v>
      </c>
      <c r="CR12" s="611">
        <f>SUM([46]A26!$C$10:$C$35,[46]A26!$C$40:$E$41,[46]A33!$B$44)</f>
        <v>41</v>
      </c>
      <c r="CS12" s="611">
        <f>SUM([47]A26!$C$10:$C$35,[47]A26!$C$40:$E$41,[47]A33!$B$44)</f>
        <v>34</v>
      </c>
      <c r="CT12" s="611">
        <f>SUM([48]A26!$C$10:$C$35,[48]A26!$C$40:$E$41,[48]A33!$B$44)</f>
        <v>22</v>
      </c>
      <c r="CU12" s="611">
        <f>SUM([49]A26!$C$10:$C$35,[49]A26!$C$40:$E$41,[49]A33!$B$44)</f>
        <v>32</v>
      </c>
      <c r="CV12" s="611">
        <f>SUM([50]A26!$C$10:$C$35,[50]A26!$C$40:$E$41,[50]A33!$B$44)</f>
        <v>125</v>
      </c>
      <c r="CW12" s="256"/>
      <c r="CX12" s="434"/>
      <c r="CY12" s="434"/>
      <c r="CZ12" s="434"/>
      <c r="DA12" s="434"/>
      <c r="DB12" s="262">
        <f t="shared" si="6"/>
        <v>340</v>
      </c>
      <c r="DC12" s="611">
        <f>SUM([44]A01!$C$74,[44]A01!$F$74,[44]A32!$B$186:$B$187,[44]A32!$E$186:$E$187)</f>
        <v>0</v>
      </c>
      <c r="DD12" s="611">
        <f>SUM([45]A01!$C$74,[45]A01!$F$74,[45]A32!$B$186:$B$187,[45]A32!$E$186:$E$187)</f>
        <v>0</v>
      </c>
      <c r="DE12" s="611">
        <f>SUM([46]A01!$C$74,[46]A01!$F$74,[46]A32!$B$186:$B$187,[46]A32!$E$186:$E$187)</f>
        <v>6</v>
      </c>
      <c r="DF12" s="611">
        <f>SUM([47]A01!$C$74,[47]A01!$F$74,[47]A32!$B$186:$B$187,[47]A32!$E$186:$E$187)</f>
        <v>5</v>
      </c>
      <c r="DG12" s="611">
        <f>SUM([48]A01!$C$74,[48]A01!$F$74,[48]A32!$B$186:$B$187,[48]A32!$E$186:$E$187)</f>
        <v>0</v>
      </c>
      <c r="DH12" s="611">
        <f>SUM([49]A01!$C$74,[49]A01!$F$74,[49]A32!$B$186:$B$187,[49]A32!$E$186:$E$187)</f>
        <v>2</v>
      </c>
      <c r="DI12" s="611">
        <f>SUM([50]A01!$C$74,[50]A01!$F$74,[50]A32!$B$186:$B$187,[50]A32!$E$186:$E$187)</f>
        <v>25</v>
      </c>
      <c r="DJ12" s="256"/>
      <c r="DK12" s="434"/>
      <c r="DL12" s="434"/>
      <c r="DM12" s="434"/>
      <c r="DN12" s="434"/>
      <c r="DO12" s="262">
        <f t="shared" si="7"/>
        <v>38</v>
      </c>
      <c r="DP12" s="256"/>
    </row>
    <row r="13" spans="2:214" s="258" customFormat="1" thickBot="1" x14ac:dyDescent="0.25">
      <c r="B13" s="266"/>
      <c r="C13" s="267" t="s">
        <v>202</v>
      </c>
      <c r="D13" s="268"/>
      <c r="E13" s="797">
        <f>SUM(E6:E12)</f>
        <v>357</v>
      </c>
      <c r="F13" s="797">
        <f t="shared" ref="F13:P13" si="8">SUM(F6:F12)</f>
        <v>174</v>
      </c>
      <c r="G13" s="797">
        <f t="shared" si="8"/>
        <v>243</v>
      </c>
      <c r="H13" s="797">
        <f t="shared" si="8"/>
        <v>391</v>
      </c>
      <c r="I13" s="797">
        <f t="shared" si="8"/>
        <v>394</v>
      </c>
      <c r="J13" s="797">
        <f t="shared" si="8"/>
        <v>391</v>
      </c>
      <c r="K13" s="797">
        <f t="shared" ref="K13" si="9">SUM(K6:K12)</f>
        <v>383</v>
      </c>
      <c r="L13" s="269">
        <f t="shared" si="8"/>
        <v>0</v>
      </c>
      <c r="M13" s="269">
        <f t="shared" si="8"/>
        <v>0</v>
      </c>
      <c r="N13" s="269">
        <f t="shared" si="8"/>
        <v>0</v>
      </c>
      <c r="O13" s="269">
        <f t="shared" si="8"/>
        <v>0</v>
      </c>
      <c r="P13" s="269">
        <f t="shared" si="8"/>
        <v>0</v>
      </c>
      <c r="Q13" s="269">
        <f>SUM(Q6:Q12)</f>
        <v>2333</v>
      </c>
      <c r="R13" s="736"/>
      <c r="S13" s="269">
        <f>SUM(S6:S12)</f>
        <v>155</v>
      </c>
      <c r="T13" s="269">
        <f t="shared" ref="T13:AD13" si="10">SUM(T6:T12)</f>
        <v>74</v>
      </c>
      <c r="U13" s="269">
        <f t="shared" si="10"/>
        <v>62</v>
      </c>
      <c r="V13" s="269">
        <f t="shared" si="10"/>
        <v>157</v>
      </c>
      <c r="W13" s="269">
        <f t="shared" si="10"/>
        <v>137</v>
      </c>
      <c r="X13" s="269">
        <f t="shared" si="10"/>
        <v>162</v>
      </c>
      <c r="Y13" s="269">
        <f t="shared" ref="Y13" si="11">SUM(Y6:Y12)</f>
        <v>222</v>
      </c>
      <c r="Z13" s="269">
        <f t="shared" si="10"/>
        <v>0</v>
      </c>
      <c r="AA13" s="269">
        <f t="shared" si="10"/>
        <v>0</v>
      </c>
      <c r="AB13" s="269">
        <f t="shared" si="10"/>
        <v>0</v>
      </c>
      <c r="AC13" s="269">
        <f t="shared" si="10"/>
        <v>0</v>
      </c>
      <c r="AD13" s="269">
        <f t="shared" si="10"/>
        <v>0</v>
      </c>
      <c r="AE13" s="269">
        <f>SUM(AE6:AE12)</f>
        <v>969</v>
      </c>
      <c r="AF13" s="736"/>
      <c r="AG13" s="736"/>
      <c r="AH13" s="736"/>
      <c r="AI13" s="256"/>
      <c r="AJ13" s="256"/>
      <c r="AK13" s="256"/>
      <c r="AL13" s="269">
        <f>SUM(AL6:AL12)</f>
        <v>769</v>
      </c>
      <c r="AM13" s="269">
        <f t="shared" ref="AM13" si="12">SUM(AM6:AM12)</f>
        <v>354</v>
      </c>
      <c r="AN13" s="269">
        <f t="shared" ref="AN13" si="13">SUM(AN6:AN12)</f>
        <v>360</v>
      </c>
      <c r="AO13" s="269">
        <f t="shared" ref="AO13" si="14">SUM(AO6:AO12)</f>
        <v>607</v>
      </c>
      <c r="AP13" s="269">
        <f t="shared" ref="AP13" si="15">SUM(AP6:AP12)</f>
        <v>639</v>
      </c>
      <c r="AQ13" s="269">
        <f t="shared" ref="AQ13" si="16">SUM(AQ6:AQ12)</f>
        <v>668</v>
      </c>
      <c r="AR13" s="269">
        <f t="shared" ref="AR13" si="17">SUM(AR6:AR12)</f>
        <v>777</v>
      </c>
      <c r="AS13" s="269">
        <f t="shared" ref="AS13" si="18">SUM(AS6:AS12)</f>
        <v>0</v>
      </c>
      <c r="AT13" s="269">
        <f t="shared" ref="AT13" si="19">SUM(AT6:AT12)</f>
        <v>0</v>
      </c>
      <c r="AU13" s="269">
        <f t="shared" ref="AU13" si="20">SUM(AU6:AU12)</f>
        <v>0</v>
      </c>
      <c r="AV13" s="269">
        <f t="shared" ref="AV13" si="21">SUM(AV6:AV12)</f>
        <v>0</v>
      </c>
      <c r="AW13" s="269">
        <f t="shared" ref="AW13" si="22">SUM(AW6:AW12)</f>
        <v>0</v>
      </c>
      <c r="AX13" s="269">
        <f>SUM(AX6:AX12)</f>
        <v>4174</v>
      </c>
      <c r="AY13" s="256"/>
      <c r="AZ13" s="469">
        <f>SUM(AZ6:AZ12)</f>
        <v>94</v>
      </c>
      <c r="BA13" s="269">
        <f t="shared" ref="BA13" si="23">SUM(BA6:BA12)</f>
        <v>82</v>
      </c>
      <c r="BB13" s="269">
        <f t="shared" ref="BB13" si="24">SUM(BB6:BB12)</f>
        <v>74</v>
      </c>
      <c r="BC13" s="269">
        <f t="shared" ref="BC13" si="25">SUM(BC6:BC12)</f>
        <v>66</v>
      </c>
      <c r="BD13" s="269">
        <f t="shared" ref="BD13" si="26">SUM(BD6:BD12)</f>
        <v>54</v>
      </c>
      <c r="BE13" s="269">
        <f t="shared" ref="BE13" si="27">SUM(BE6:BE12)</f>
        <v>75</v>
      </c>
      <c r="BF13" s="269">
        <f t="shared" ref="BF13" si="28">SUM(BF6:BF12)</f>
        <v>69</v>
      </c>
      <c r="BG13" s="269">
        <f t="shared" ref="BG13" si="29">SUM(BG6:BG12)</f>
        <v>0</v>
      </c>
      <c r="BH13" s="269">
        <f t="shared" ref="BH13" si="30">SUM(BH6:BH12)</f>
        <v>0</v>
      </c>
      <c r="BI13" s="269">
        <f t="shared" ref="BI13" si="31">SUM(BI6:BI12)</f>
        <v>0</v>
      </c>
      <c r="BJ13" s="269">
        <f t="shared" ref="BJ13" si="32">SUM(BJ6:BJ12)</f>
        <v>0</v>
      </c>
      <c r="BK13" s="269">
        <f t="shared" ref="BK13" si="33">SUM(BK6:BK12)</f>
        <v>0</v>
      </c>
      <c r="BL13" s="269">
        <f>SUM(BL6:BL12)</f>
        <v>514</v>
      </c>
      <c r="BM13" s="256"/>
      <c r="BN13" s="469">
        <f>SUM(BN6:BN12)</f>
        <v>103</v>
      </c>
      <c r="BO13" s="269">
        <f t="shared" ref="BO13" si="34">SUM(BO6:BO12)</f>
        <v>90</v>
      </c>
      <c r="BP13" s="269">
        <f t="shared" ref="BP13" si="35">SUM(BP6:BP12)</f>
        <v>82</v>
      </c>
      <c r="BQ13" s="269">
        <f t="shared" ref="BQ13" si="36">SUM(BQ6:BQ12)</f>
        <v>78</v>
      </c>
      <c r="BR13" s="269">
        <f t="shared" ref="BR13" si="37">SUM(BR6:BR12)</f>
        <v>65</v>
      </c>
      <c r="BS13" s="269">
        <f t="shared" ref="BS13" si="38">SUM(BS6:BS12)</f>
        <v>80</v>
      </c>
      <c r="BT13" s="269">
        <f t="shared" ref="BT13" si="39">SUM(BT6:BT12)</f>
        <v>75</v>
      </c>
      <c r="BU13" s="269">
        <f t="shared" ref="BU13" si="40">SUM(BU6:BU12)</f>
        <v>0</v>
      </c>
      <c r="BV13" s="269">
        <f t="shared" ref="BV13" si="41">SUM(BV6:BV12)</f>
        <v>0</v>
      </c>
      <c r="BW13" s="269">
        <f t="shared" ref="BW13" si="42">SUM(BW6:BW12)</f>
        <v>0</v>
      </c>
      <c r="BX13" s="269">
        <f t="shared" ref="BX13" si="43">SUM(BX6:BX12)</f>
        <v>0</v>
      </c>
      <c r="BY13" s="269">
        <f t="shared" ref="BY13" si="44">SUM(BY6:BY12)</f>
        <v>0</v>
      </c>
      <c r="BZ13" s="269">
        <f>SUM(BZ6:BZ12)</f>
        <v>573</v>
      </c>
      <c r="CB13" s="269">
        <f>SUM(CB6:CB12)</f>
        <v>71</v>
      </c>
      <c r="CC13" s="269">
        <f t="shared" ref="CC13" si="45">SUM(CC6:CC12)</f>
        <v>53</v>
      </c>
      <c r="CD13" s="269">
        <f t="shared" ref="CD13" si="46">SUM(CD6:CD12)</f>
        <v>84</v>
      </c>
      <c r="CE13" s="269">
        <f t="shared" ref="CE13" si="47">SUM(CE6:CE12)</f>
        <v>85</v>
      </c>
      <c r="CF13" s="269">
        <f t="shared" ref="CF13" si="48">SUM(CF6:CF12)</f>
        <v>49</v>
      </c>
      <c r="CG13" s="269">
        <f t="shared" ref="CG13" si="49">SUM(CG6:CG12)</f>
        <v>79</v>
      </c>
      <c r="CH13" s="269">
        <f t="shared" ref="CH13" si="50">SUM(CH6:CH12)</f>
        <v>67</v>
      </c>
      <c r="CI13" s="269">
        <f t="shared" ref="CI13" si="51">SUM(CI6:CI12)</f>
        <v>0</v>
      </c>
      <c r="CJ13" s="269">
        <f t="shared" ref="CJ13" si="52">SUM(CJ6:CJ12)</f>
        <v>0</v>
      </c>
      <c r="CK13" s="269">
        <f t="shared" ref="CK13" si="53">SUM(CK6:CK12)</f>
        <v>0</v>
      </c>
      <c r="CL13" s="269">
        <f t="shared" ref="CL13" si="54">SUM(CL6:CL12)</f>
        <v>0</v>
      </c>
      <c r="CM13" s="269">
        <f t="shared" ref="CM13" si="55">SUM(CM6:CM12)</f>
        <v>0</v>
      </c>
      <c r="CN13" s="269">
        <f>SUM(CN6:CN12)</f>
        <v>488</v>
      </c>
      <c r="CO13" s="256"/>
      <c r="CP13" s="469">
        <f>SUM(CP6:CP12)</f>
        <v>457</v>
      </c>
      <c r="CQ13" s="269">
        <f t="shared" ref="CQ13" si="56">SUM(CQ6:CQ12)</f>
        <v>235</v>
      </c>
      <c r="CR13" s="269">
        <f t="shared" ref="CR13" si="57">SUM(CR6:CR12)</f>
        <v>366</v>
      </c>
      <c r="CS13" s="269">
        <f t="shared" ref="CS13" si="58">SUM(CS6:CS12)</f>
        <v>334</v>
      </c>
      <c r="CT13" s="269">
        <f t="shared" ref="CT13" si="59">SUM(CT6:CT12)</f>
        <v>314</v>
      </c>
      <c r="CU13" s="269">
        <f t="shared" ref="CU13" si="60">SUM(CU6:CU12)</f>
        <v>357</v>
      </c>
      <c r="CV13" s="269">
        <f t="shared" ref="CV13" si="61">SUM(CV6:CV12)</f>
        <v>454</v>
      </c>
      <c r="CW13" s="269">
        <f t="shared" ref="CW13" si="62">SUM(CW6:CW12)</f>
        <v>0</v>
      </c>
      <c r="CX13" s="269">
        <f t="shared" ref="CX13" si="63">SUM(CX6:CX12)</f>
        <v>0</v>
      </c>
      <c r="CY13" s="269">
        <f t="shared" ref="CY13" si="64">SUM(CY6:CY12)</f>
        <v>0</v>
      </c>
      <c r="CZ13" s="269">
        <f t="shared" ref="CZ13" si="65">SUM(CZ6:CZ12)</f>
        <v>0</v>
      </c>
      <c r="DA13" s="269">
        <f t="shared" ref="DA13" si="66">SUM(DA6:DA12)</f>
        <v>0</v>
      </c>
      <c r="DB13" s="269">
        <f>SUM(DB6:DB12)</f>
        <v>2517</v>
      </c>
      <c r="DC13" s="469">
        <f>SUM(DC6:DC12)</f>
        <v>90</v>
      </c>
      <c r="DD13" s="269">
        <f t="shared" ref="DD13" si="67">SUM(DD6:DD12)</f>
        <v>166</v>
      </c>
      <c r="DE13" s="269">
        <f t="shared" ref="DE13" si="68">SUM(DE6:DE12)</f>
        <v>102</v>
      </c>
      <c r="DF13" s="269">
        <f t="shared" ref="DF13" si="69">SUM(DF6:DF12)</f>
        <v>186</v>
      </c>
      <c r="DG13" s="269">
        <f t="shared" ref="DG13" si="70">SUM(DG6:DG12)</f>
        <v>211</v>
      </c>
      <c r="DH13" s="269">
        <f t="shared" ref="DH13" si="71">SUM(DH6:DH12)</f>
        <v>260</v>
      </c>
      <c r="DI13" s="269">
        <f t="shared" ref="DI13" si="72">SUM(DI6:DI12)</f>
        <v>241</v>
      </c>
      <c r="DJ13" s="269">
        <f t="shared" ref="DJ13" si="73">SUM(DJ6:DJ12)</f>
        <v>0</v>
      </c>
      <c r="DK13" s="269">
        <f t="shared" ref="DK13" si="74">SUM(DK6:DK12)</f>
        <v>0</v>
      </c>
      <c r="DL13" s="269">
        <f t="shared" ref="DL13" si="75">SUM(DL6:DL12)</f>
        <v>0</v>
      </c>
      <c r="DM13" s="269">
        <f t="shared" ref="DM13" si="76">SUM(DM6:DM12)</f>
        <v>0</v>
      </c>
      <c r="DN13" s="269">
        <f t="shared" ref="DN13" si="77">SUM(DN6:DN12)</f>
        <v>0</v>
      </c>
      <c r="DO13" s="269">
        <f>SUM(DO6:DO12)</f>
        <v>1256</v>
      </c>
      <c r="DP13" s="256"/>
    </row>
    <row r="14" spans="2:214" s="258" customFormat="1" ht="12" x14ac:dyDescent="0.2">
      <c r="C14" s="270"/>
      <c r="D14" s="270"/>
      <c r="E14" s="271"/>
      <c r="F14" s="271"/>
      <c r="G14" s="271"/>
      <c r="H14" s="271"/>
      <c r="I14" s="271"/>
      <c r="J14" s="271"/>
      <c r="K14" s="271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71"/>
      <c r="AM14" s="271"/>
      <c r="AN14" s="271"/>
      <c r="AO14" s="271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71"/>
      <c r="BA14" s="271"/>
      <c r="BB14" s="271"/>
      <c r="BC14" s="271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71"/>
      <c r="BO14" s="271"/>
      <c r="BP14" s="271"/>
      <c r="BQ14" s="271"/>
      <c r="BR14" s="256"/>
      <c r="BS14" s="256"/>
      <c r="BT14" s="256"/>
      <c r="BU14" s="256"/>
      <c r="BV14" s="256"/>
      <c r="BW14" s="256"/>
      <c r="BX14" s="256"/>
      <c r="BY14" s="256"/>
      <c r="BZ14" s="256"/>
      <c r="CB14" s="271"/>
      <c r="CC14" s="271"/>
      <c r="CD14" s="271"/>
      <c r="CE14" s="271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71"/>
      <c r="CQ14" s="271"/>
      <c r="CR14" s="271"/>
      <c r="CS14" s="271"/>
      <c r="CT14" s="256"/>
      <c r="CU14" s="256"/>
      <c r="CV14" s="256"/>
      <c r="CW14" s="256"/>
      <c r="CX14" s="256"/>
      <c r="CY14" s="256"/>
      <c r="CZ14" s="256"/>
      <c r="DA14" s="256"/>
      <c r="DB14" s="256"/>
      <c r="DC14" s="271"/>
      <c r="DD14" s="271"/>
      <c r="DE14" s="271"/>
      <c r="DF14" s="271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</row>
    <row r="15" spans="2:214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</row>
    <row r="16" spans="2:214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</row>
    <row r="17" spans="5:120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</row>
    <row r="18" spans="5:120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</row>
    <row r="19" spans="5:120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</row>
    <row r="20" spans="5:120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</row>
    <row r="21" spans="5:120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</row>
    <row r="22" spans="5:120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</row>
    <row r="23" spans="5:120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</row>
    <row r="24" spans="5:120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</row>
    <row r="25" spans="5:120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</row>
    <row r="26" spans="5:120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</row>
    <row r="27" spans="5:120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</row>
    <row r="28" spans="5:120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</row>
    <row r="29" spans="5:120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</row>
    <row r="30" spans="5:120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</row>
    <row r="31" spans="5:120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</row>
    <row r="32" spans="5:120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</row>
    <row r="33" spans="5:120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</row>
    <row r="34" spans="5:120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</row>
    <row r="35" spans="5:120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</row>
    <row r="36" spans="5:120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</row>
    <row r="37" spans="5:120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</row>
    <row r="38" spans="5:120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</row>
    <row r="39" spans="5:120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</row>
    <row r="40" spans="5:120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</row>
    <row r="41" spans="5:120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</row>
    <row r="42" spans="5:120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</row>
    <row r="43" spans="5:120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</row>
    <row r="44" spans="5:120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</row>
    <row r="45" spans="5:120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</row>
    <row r="46" spans="5:120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</row>
    <row r="47" spans="5:120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</row>
    <row r="48" spans="5:120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</row>
    <row r="49" spans="5:120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</row>
    <row r="50" spans="5:120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</row>
    <row r="51" spans="5:120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</row>
    <row r="52" spans="5:120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</row>
    <row r="53" spans="5:120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</row>
    <row r="54" spans="5:120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</row>
    <row r="55" spans="5:120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</row>
    <row r="56" spans="5:120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</row>
    <row r="57" spans="5:120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</row>
    <row r="58" spans="5:120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256"/>
      <c r="DL58" s="256"/>
      <c r="DM58" s="256"/>
      <c r="DN58" s="256"/>
      <c r="DO58" s="256"/>
      <c r="DP58" s="256"/>
    </row>
    <row r="59" spans="5:120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</row>
    <row r="60" spans="5:120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</row>
    <row r="61" spans="5:120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</row>
    <row r="62" spans="5:120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</row>
    <row r="63" spans="5:120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</row>
    <row r="64" spans="5:120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</row>
    <row r="65" spans="5:120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</row>
    <row r="66" spans="5:120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256"/>
      <c r="DL66" s="256"/>
      <c r="DM66" s="256"/>
      <c r="DN66" s="256"/>
      <c r="DO66" s="256"/>
      <c r="DP66" s="256"/>
    </row>
    <row r="67" spans="5:120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256"/>
      <c r="DL67" s="256"/>
      <c r="DM67" s="256"/>
      <c r="DN67" s="256"/>
      <c r="DO67" s="256"/>
      <c r="DP67" s="256"/>
    </row>
    <row r="68" spans="5:120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256"/>
      <c r="DL68" s="256"/>
      <c r="DM68" s="256"/>
      <c r="DN68" s="256"/>
      <c r="DO68" s="256"/>
      <c r="DP68" s="256"/>
    </row>
    <row r="69" spans="5:120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256"/>
      <c r="DL69" s="256"/>
      <c r="DM69" s="256"/>
      <c r="DN69" s="256"/>
      <c r="DO69" s="256"/>
      <c r="DP69" s="256"/>
    </row>
    <row r="70" spans="5:120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</row>
    <row r="71" spans="5:120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</row>
    <row r="72" spans="5:120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256"/>
      <c r="DL72" s="256"/>
      <c r="DM72" s="256"/>
      <c r="DN72" s="256"/>
      <c r="DO72" s="256"/>
      <c r="DP72" s="256"/>
    </row>
    <row r="73" spans="5:120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256"/>
      <c r="DL73" s="256"/>
      <c r="DM73" s="256"/>
      <c r="DN73" s="256"/>
      <c r="DO73" s="256"/>
      <c r="DP73" s="256"/>
    </row>
    <row r="74" spans="5:120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256"/>
      <c r="DL74" s="256"/>
      <c r="DM74" s="256"/>
      <c r="DN74" s="256"/>
      <c r="DO74" s="256"/>
      <c r="DP74" s="256"/>
    </row>
    <row r="75" spans="5:120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256"/>
      <c r="DL75" s="256"/>
      <c r="DM75" s="256"/>
      <c r="DN75" s="256"/>
      <c r="DO75" s="256"/>
      <c r="DP75" s="256"/>
    </row>
    <row r="76" spans="5:120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256"/>
      <c r="DL76" s="256"/>
      <c r="DM76" s="256"/>
      <c r="DN76" s="256"/>
      <c r="DO76" s="256"/>
      <c r="DP76" s="256"/>
    </row>
    <row r="77" spans="5:120" s="255" customFormat="1" ht="12" x14ac:dyDescent="0.2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256"/>
      <c r="DL77" s="256"/>
      <c r="DM77" s="256"/>
      <c r="DN77" s="256"/>
      <c r="DO77" s="256"/>
      <c r="DP77" s="256"/>
    </row>
    <row r="78" spans="5:120" s="255" customFormat="1" ht="12" x14ac:dyDescent="0.2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256"/>
      <c r="DL78" s="256"/>
      <c r="DM78" s="256"/>
      <c r="DN78" s="256"/>
      <c r="DO78" s="256"/>
      <c r="DP78" s="256"/>
    </row>
    <row r="79" spans="5:120" s="255" customFormat="1" ht="12" x14ac:dyDescent="0.2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256"/>
      <c r="DL79" s="256"/>
      <c r="DM79" s="256"/>
      <c r="DN79" s="256"/>
      <c r="DO79" s="256"/>
      <c r="DP79" s="256"/>
    </row>
    <row r="80" spans="5:120" s="255" customFormat="1" ht="12" x14ac:dyDescent="0.2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256"/>
      <c r="DL80" s="256"/>
      <c r="DM80" s="256"/>
      <c r="DN80" s="256"/>
      <c r="DO80" s="256"/>
      <c r="DP80" s="256"/>
    </row>
    <row r="81" spans="2:215" s="255" customFormat="1" ht="12" x14ac:dyDescent="0.2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</row>
    <row r="82" spans="2:215" s="255" customFormat="1" ht="12" x14ac:dyDescent="0.2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</row>
    <row r="83" spans="2:215" s="255" customFormat="1" ht="12" x14ac:dyDescent="0.2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256"/>
      <c r="DI83" s="256"/>
      <c r="DJ83" s="256"/>
      <c r="DK83" s="256"/>
      <c r="DL83" s="256"/>
      <c r="DM83" s="256"/>
      <c r="DN83" s="256"/>
      <c r="DO83" s="256"/>
      <c r="DP83" s="256"/>
    </row>
    <row r="84" spans="2:215" s="255" customFormat="1" ht="12" x14ac:dyDescent="0.2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B84" s="256"/>
      <c r="CC84" s="256"/>
      <c r="CD84" s="256"/>
      <c r="CE84" s="256"/>
      <c r="CF84" s="256"/>
      <c r="CG84" s="256"/>
      <c r="CH84" s="256"/>
      <c r="CI84" s="256"/>
      <c r="CJ84" s="256"/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256"/>
      <c r="CV84" s="256"/>
      <c r="CW84" s="256"/>
      <c r="CX84" s="256"/>
      <c r="CY84" s="256"/>
      <c r="CZ84" s="256"/>
      <c r="DA84" s="256"/>
      <c r="DB84" s="256"/>
      <c r="DC84" s="256"/>
      <c r="DD84" s="256"/>
      <c r="DE84" s="256"/>
      <c r="DF84" s="256"/>
      <c r="DG84" s="256"/>
      <c r="DH84" s="256"/>
      <c r="DI84" s="256"/>
      <c r="DJ84" s="256"/>
      <c r="DK84" s="256"/>
      <c r="DL84" s="256"/>
      <c r="DM84" s="256"/>
      <c r="DN84" s="256"/>
      <c r="DO84" s="256"/>
      <c r="DP84" s="256"/>
    </row>
    <row r="85" spans="2:215" s="275" customFormat="1" ht="12" x14ac:dyDescent="0.2">
      <c r="B85" s="255"/>
      <c r="C85" s="255"/>
      <c r="D85" s="255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HF85" s="255"/>
      <c r="HG85" s="255"/>
    </row>
    <row r="86" spans="2:215" s="275" customFormat="1" ht="12" x14ac:dyDescent="0.2">
      <c r="B86" s="255"/>
      <c r="C86" s="255"/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B86" s="256"/>
      <c r="CC86" s="256"/>
      <c r="CD86" s="256"/>
      <c r="CE86" s="256"/>
      <c r="CF86" s="256"/>
      <c r="CG86" s="256"/>
      <c r="CH86" s="256"/>
      <c r="CI86" s="256"/>
      <c r="CJ86" s="256"/>
      <c r="CK86" s="256"/>
      <c r="CL86" s="256"/>
      <c r="CM86" s="256"/>
      <c r="CN86" s="256"/>
      <c r="CO86" s="256"/>
      <c r="CP86" s="256"/>
      <c r="CQ86" s="256"/>
      <c r="CR86" s="256"/>
      <c r="CS86" s="256"/>
      <c r="CT86" s="256"/>
      <c r="CU86" s="256"/>
      <c r="CV86" s="256"/>
      <c r="CW86" s="256"/>
      <c r="CX86" s="256"/>
      <c r="CY86" s="256"/>
      <c r="CZ86" s="256"/>
      <c r="DA86" s="256"/>
      <c r="DB86" s="256"/>
      <c r="DC86" s="256"/>
      <c r="DD86" s="256"/>
      <c r="DE86" s="256"/>
      <c r="DF86" s="256"/>
      <c r="DG86" s="256"/>
      <c r="DH86" s="256"/>
      <c r="DI86" s="256"/>
      <c r="DJ86" s="256"/>
      <c r="DK86" s="256"/>
      <c r="DL86" s="256"/>
      <c r="DM86" s="256"/>
      <c r="DN86" s="256"/>
      <c r="DO86" s="256"/>
      <c r="DP86" s="256"/>
      <c r="HF86" s="255"/>
      <c r="HG86" s="255"/>
    </row>
    <row r="87" spans="2:215" s="275" customFormat="1" ht="12" x14ac:dyDescent="0.2">
      <c r="B87" s="255"/>
      <c r="C87" s="255"/>
      <c r="D87" s="255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256"/>
      <c r="BS87" s="256"/>
      <c r="BT87" s="256"/>
      <c r="BU87" s="256"/>
      <c r="BV87" s="256"/>
      <c r="BW87" s="256"/>
      <c r="BX87" s="256"/>
      <c r="BY87" s="256"/>
      <c r="BZ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56"/>
      <c r="CN87" s="256"/>
      <c r="CO87" s="256"/>
      <c r="CP87" s="256"/>
      <c r="CQ87" s="256"/>
      <c r="CR87" s="256"/>
      <c r="CS87" s="256"/>
      <c r="CT87" s="256"/>
      <c r="CU87" s="256"/>
      <c r="CV87" s="256"/>
      <c r="CW87" s="256"/>
      <c r="CX87" s="256"/>
      <c r="CY87" s="256"/>
      <c r="CZ87" s="256"/>
      <c r="DA87" s="256"/>
      <c r="DB87" s="256"/>
      <c r="DC87" s="256"/>
      <c r="DD87" s="256"/>
      <c r="DE87" s="256"/>
      <c r="DF87" s="256"/>
      <c r="DG87" s="256"/>
      <c r="DH87" s="256"/>
      <c r="DI87" s="256"/>
      <c r="DJ87" s="256"/>
      <c r="DK87" s="256"/>
      <c r="DL87" s="256"/>
      <c r="DM87" s="256"/>
      <c r="DN87" s="256"/>
      <c r="DO87" s="256"/>
      <c r="DP87" s="256"/>
      <c r="HF87" s="255"/>
      <c r="HG87" s="255"/>
    </row>
    <row r="88" spans="2:215" s="275" customFormat="1" ht="12" x14ac:dyDescent="0.2">
      <c r="B88" s="255"/>
      <c r="C88" s="255"/>
      <c r="D88" s="255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256"/>
      <c r="CN88" s="256"/>
      <c r="CO88" s="256"/>
      <c r="CP88" s="256"/>
      <c r="CQ88" s="256"/>
      <c r="CR88" s="256"/>
      <c r="CS88" s="256"/>
      <c r="CT88" s="256"/>
      <c r="CU88" s="256"/>
      <c r="CV88" s="256"/>
      <c r="CW88" s="256"/>
      <c r="CX88" s="256"/>
      <c r="CY88" s="256"/>
      <c r="CZ88" s="256"/>
      <c r="DA88" s="256"/>
      <c r="DB88" s="256"/>
      <c r="DC88" s="256"/>
      <c r="DD88" s="256"/>
      <c r="DE88" s="256"/>
      <c r="DF88" s="256"/>
      <c r="DG88" s="256"/>
      <c r="DH88" s="256"/>
      <c r="DI88" s="256"/>
      <c r="DJ88" s="256"/>
      <c r="DK88" s="256"/>
      <c r="DL88" s="256"/>
      <c r="DM88" s="256"/>
      <c r="DN88" s="256"/>
      <c r="DO88" s="256"/>
      <c r="DP88" s="256"/>
      <c r="HF88" s="255"/>
      <c r="HG88" s="255"/>
    </row>
    <row r="89" spans="2:215" s="275" customFormat="1" ht="12" x14ac:dyDescent="0.2">
      <c r="B89" s="255"/>
      <c r="C89" s="255"/>
      <c r="D89" s="255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  <c r="CM89" s="256"/>
      <c r="CN89" s="256"/>
      <c r="CO89" s="256"/>
      <c r="CP89" s="256"/>
      <c r="CQ89" s="256"/>
      <c r="CR89" s="256"/>
      <c r="CS89" s="256"/>
      <c r="CT89" s="256"/>
      <c r="CU89" s="256"/>
      <c r="CV89" s="256"/>
      <c r="CW89" s="256"/>
      <c r="CX89" s="256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HF89" s="255"/>
      <c r="HG89" s="255"/>
    </row>
    <row r="90" spans="2:215" x14ac:dyDescent="0.2"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  <c r="AL90" s="275"/>
      <c r="AM90" s="275"/>
      <c r="AN90" s="275"/>
      <c r="AO90" s="275"/>
      <c r="AP90" s="275"/>
      <c r="AQ90" s="275"/>
      <c r="AR90" s="275"/>
      <c r="AS90" s="275"/>
      <c r="AT90" s="275"/>
      <c r="AU90" s="275"/>
      <c r="AV90" s="275"/>
      <c r="AW90" s="275"/>
      <c r="AX90" s="275"/>
      <c r="AY90" s="275"/>
      <c r="AZ90" s="275"/>
      <c r="BA90" s="275"/>
      <c r="BB90" s="275"/>
      <c r="BC90" s="275"/>
      <c r="BD90" s="275"/>
      <c r="BE90" s="275"/>
      <c r="BF90" s="275"/>
      <c r="BG90" s="275"/>
      <c r="BH90" s="275"/>
      <c r="BI90" s="275"/>
      <c r="BJ90" s="275"/>
      <c r="BK90" s="275"/>
      <c r="BL90" s="275"/>
      <c r="BM90" s="275"/>
      <c r="BN90" s="275"/>
      <c r="BO90" s="275"/>
      <c r="BP90" s="275"/>
      <c r="BQ90" s="275"/>
      <c r="BR90" s="275"/>
      <c r="BS90" s="275"/>
      <c r="BT90" s="275"/>
      <c r="BU90" s="275"/>
      <c r="BV90" s="275"/>
      <c r="BW90" s="275"/>
      <c r="BX90" s="275"/>
      <c r="BY90" s="275"/>
      <c r="BZ90" s="27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HF90" s="275"/>
      <c r="HG90" s="275"/>
    </row>
    <row r="91" spans="2:215" x14ac:dyDescent="0.2"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  <c r="AJ91" s="275"/>
      <c r="AK91" s="275"/>
      <c r="AL91" s="275"/>
      <c r="AM91" s="275"/>
      <c r="AN91" s="275"/>
      <c r="AO91" s="275"/>
      <c r="AP91" s="275"/>
      <c r="AQ91" s="275"/>
      <c r="AR91" s="275"/>
      <c r="AS91" s="275"/>
      <c r="AT91" s="275"/>
      <c r="AU91" s="275"/>
      <c r="AV91" s="275"/>
      <c r="AW91" s="275"/>
      <c r="AX91" s="275"/>
      <c r="AY91" s="275"/>
      <c r="AZ91" s="275"/>
      <c r="BA91" s="275"/>
      <c r="BB91" s="275"/>
      <c r="BC91" s="275"/>
      <c r="BD91" s="275"/>
      <c r="BE91" s="275"/>
      <c r="BF91" s="275"/>
      <c r="BG91" s="275"/>
      <c r="BH91" s="275"/>
      <c r="BI91" s="275"/>
      <c r="BJ91" s="275"/>
      <c r="BK91" s="275"/>
      <c r="BL91" s="275"/>
      <c r="BM91" s="275"/>
      <c r="BN91" s="275"/>
      <c r="BO91" s="275"/>
      <c r="BP91" s="275"/>
      <c r="BQ91" s="275"/>
      <c r="BR91" s="275"/>
      <c r="BS91" s="275"/>
      <c r="BT91" s="275"/>
      <c r="BU91" s="275"/>
      <c r="BV91" s="275"/>
      <c r="BW91" s="275"/>
      <c r="BX91" s="275"/>
      <c r="BY91" s="275"/>
      <c r="BZ91" s="275"/>
      <c r="CB91" s="275"/>
      <c r="CC91" s="275"/>
      <c r="CD91" s="275"/>
      <c r="CE91" s="275"/>
      <c r="CF91" s="275"/>
      <c r="CG91" s="275"/>
      <c r="CH91" s="275"/>
      <c r="CI91" s="275"/>
      <c r="CJ91" s="275"/>
      <c r="CK91" s="275"/>
      <c r="CL91" s="275"/>
      <c r="CM91" s="275"/>
      <c r="CN91" s="275"/>
      <c r="CO91" s="275"/>
      <c r="CP91" s="275"/>
      <c r="CQ91" s="275"/>
      <c r="CR91" s="275"/>
      <c r="CS91" s="275"/>
      <c r="CT91" s="275"/>
      <c r="CU91" s="275"/>
      <c r="CV91" s="275"/>
      <c r="CW91" s="275"/>
      <c r="CX91" s="275"/>
      <c r="CY91" s="275"/>
      <c r="CZ91" s="275"/>
      <c r="DA91" s="275"/>
      <c r="DB91" s="275"/>
      <c r="DC91" s="275"/>
      <c r="DD91" s="275"/>
      <c r="DE91" s="275"/>
      <c r="DF91" s="275"/>
      <c r="DG91" s="275"/>
      <c r="DH91" s="275"/>
      <c r="DI91" s="275"/>
      <c r="DJ91" s="275"/>
      <c r="DK91" s="275"/>
      <c r="DL91" s="275"/>
      <c r="DM91" s="275"/>
      <c r="DN91" s="275"/>
      <c r="DO91" s="275"/>
      <c r="HF91" s="275"/>
      <c r="HG91" s="275"/>
    </row>
    <row r="92" spans="2:215" x14ac:dyDescent="0.2"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75"/>
      <c r="AV92" s="275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75"/>
      <c r="BH92" s="275"/>
      <c r="BI92" s="275"/>
      <c r="BJ92" s="275"/>
      <c r="BK92" s="275"/>
      <c r="BL92" s="275"/>
      <c r="BM92" s="275"/>
      <c r="BN92" s="275"/>
      <c r="BO92" s="275"/>
      <c r="BP92" s="275"/>
      <c r="BQ92" s="275"/>
      <c r="BR92" s="275"/>
      <c r="BS92" s="275"/>
      <c r="BT92" s="275"/>
      <c r="BU92" s="275"/>
      <c r="BV92" s="275"/>
      <c r="BW92" s="275"/>
      <c r="BX92" s="275"/>
      <c r="BY92" s="275"/>
      <c r="BZ92" s="275"/>
      <c r="CB92" s="275"/>
      <c r="CC92" s="275"/>
      <c r="CD92" s="275"/>
      <c r="CE92" s="275"/>
      <c r="CF92" s="275"/>
      <c r="CG92" s="275"/>
      <c r="CH92" s="275"/>
      <c r="CI92" s="275"/>
      <c r="CJ92" s="275"/>
      <c r="CK92" s="275"/>
      <c r="CL92" s="275"/>
      <c r="CM92" s="275"/>
      <c r="CN92" s="275"/>
      <c r="CO92" s="275"/>
      <c r="CP92" s="275"/>
      <c r="CQ92" s="275"/>
      <c r="CR92" s="275"/>
      <c r="CS92" s="275"/>
      <c r="CT92" s="275"/>
      <c r="CU92" s="275"/>
      <c r="CV92" s="275"/>
      <c r="CW92" s="275"/>
      <c r="CX92" s="275"/>
      <c r="CY92" s="275"/>
      <c r="CZ92" s="275"/>
      <c r="DA92" s="275"/>
      <c r="DB92" s="275"/>
      <c r="DC92" s="275"/>
      <c r="DD92" s="275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HF92" s="275"/>
      <c r="HG92" s="275"/>
    </row>
    <row r="93" spans="2:215" x14ac:dyDescent="0.2"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275"/>
      <c r="AK93" s="275"/>
      <c r="AL93" s="275"/>
      <c r="AM93" s="275"/>
      <c r="AN93" s="275"/>
      <c r="AO93" s="275"/>
      <c r="AP93" s="275"/>
      <c r="AQ93" s="275"/>
      <c r="AR93" s="275"/>
      <c r="AS93" s="275"/>
      <c r="AT93" s="275"/>
      <c r="AU93" s="275"/>
      <c r="AV93" s="275"/>
      <c r="AW93" s="275"/>
      <c r="AX93" s="275"/>
      <c r="AY93" s="275"/>
      <c r="AZ93" s="275"/>
      <c r="BA93" s="275"/>
      <c r="BB93" s="275"/>
      <c r="BC93" s="275"/>
      <c r="BD93" s="275"/>
      <c r="BE93" s="275"/>
      <c r="BF93" s="275"/>
      <c r="BG93" s="275"/>
      <c r="BH93" s="275"/>
      <c r="BI93" s="275"/>
      <c r="BJ93" s="275"/>
      <c r="BK93" s="275"/>
      <c r="BL93" s="275"/>
      <c r="BM93" s="275"/>
      <c r="BN93" s="275"/>
      <c r="BO93" s="275"/>
      <c r="BP93" s="275"/>
      <c r="BQ93" s="275"/>
      <c r="BR93" s="275"/>
      <c r="BS93" s="275"/>
      <c r="BT93" s="275"/>
      <c r="BU93" s="275"/>
      <c r="BV93" s="275"/>
      <c r="BW93" s="275"/>
      <c r="BX93" s="275"/>
      <c r="BY93" s="275"/>
      <c r="BZ93" s="275"/>
      <c r="CB93" s="275"/>
      <c r="CC93" s="275"/>
      <c r="CD93" s="275"/>
      <c r="CE93" s="275"/>
      <c r="CF93" s="275"/>
      <c r="CG93" s="275"/>
      <c r="CH93" s="275"/>
      <c r="CI93" s="275"/>
      <c r="CJ93" s="275"/>
      <c r="CK93" s="275"/>
      <c r="CL93" s="275"/>
      <c r="CM93" s="275"/>
      <c r="CN93" s="275"/>
      <c r="CO93" s="275"/>
      <c r="CP93" s="275"/>
      <c r="CQ93" s="275"/>
      <c r="CR93" s="275"/>
      <c r="CS93" s="275"/>
      <c r="CT93" s="275"/>
      <c r="CU93" s="275"/>
      <c r="CV93" s="275"/>
      <c r="CW93" s="275"/>
      <c r="CX93" s="275"/>
      <c r="CY93" s="275"/>
      <c r="CZ93" s="275"/>
      <c r="DA93" s="275"/>
      <c r="DB93" s="275"/>
      <c r="DC93" s="275"/>
      <c r="DD93" s="275"/>
      <c r="DE93" s="275"/>
      <c r="DF93" s="275"/>
      <c r="DG93" s="275"/>
      <c r="DH93" s="275"/>
      <c r="DI93" s="275"/>
      <c r="DJ93" s="275"/>
      <c r="DK93" s="275"/>
      <c r="DL93" s="275"/>
      <c r="DM93" s="275"/>
      <c r="DN93" s="275"/>
      <c r="DO93" s="275"/>
      <c r="HF93" s="275"/>
      <c r="HG93" s="275"/>
    </row>
    <row r="94" spans="2:215" x14ac:dyDescent="0.2"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5"/>
      <c r="BB94" s="275"/>
      <c r="BC94" s="275"/>
      <c r="BD94" s="275"/>
      <c r="BE94" s="275"/>
      <c r="BF94" s="275"/>
      <c r="BG94" s="275"/>
      <c r="BH94" s="275"/>
      <c r="BI94" s="275"/>
      <c r="BJ94" s="275"/>
      <c r="BK94" s="275"/>
      <c r="BL94" s="275"/>
      <c r="BM94" s="275"/>
      <c r="BN94" s="275"/>
      <c r="BO94" s="275"/>
      <c r="BP94" s="275"/>
      <c r="BQ94" s="275"/>
      <c r="BR94" s="275"/>
      <c r="BS94" s="275"/>
      <c r="BT94" s="275"/>
      <c r="BU94" s="275"/>
      <c r="BV94" s="275"/>
      <c r="BW94" s="275"/>
      <c r="BX94" s="275"/>
      <c r="BY94" s="275"/>
      <c r="BZ94" s="275"/>
      <c r="CB94" s="275"/>
      <c r="CC94" s="275"/>
      <c r="CD94" s="275"/>
      <c r="CE94" s="275"/>
      <c r="CF94" s="275"/>
      <c r="CG94" s="275"/>
      <c r="CH94" s="275"/>
      <c r="CI94" s="275"/>
      <c r="CJ94" s="275"/>
      <c r="CK94" s="275"/>
      <c r="CL94" s="275"/>
      <c r="CM94" s="275"/>
      <c r="CN94" s="275"/>
      <c r="CO94" s="275"/>
      <c r="CP94" s="275"/>
      <c r="CQ94" s="275"/>
      <c r="CR94" s="275"/>
      <c r="CS94" s="275"/>
      <c r="CT94" s="275"/>
      <c r="CU94" s="275"/>
      <c r="CV94" s="275"/>
      <c r="CW94" s="275"/>
      <c r="CX94" s="275"/>
      <c r="CY94" s="275"/>
      <c r="CZ94" s="275"/>
      <c r="DA94" s="275"/>
      <c r="DB94" s="275"/>
      <c r="DC94" s="275"/>
      <c r="DD94" s="275"/>
      <c r="DE94" s="275"/>
      <c r="DF94" s="275"/>
      <c r="DG94" s="275"/>
      <c r="DH94" s="275"/>
      <c r="DI94" s="275"/>
      <c r="DJ94" s="275"/>
      <c r="DK94" s="275"/>
      <c r="DL94" s="275"/>
      <c r="DM94" s="275"/>
      <c r="DN94" s="275"/>
      <c r="DO94" s="275"/>
      <c r="HF94" s="275"/>
      <c r="HG94" s="275"/>
    </row>
    <row r="95" spans="2:215" x14ac:dyDescent="0.2">
      <c r="CB95" s="275"/>
      <c r="CC95" s="275"/>
      <c r="CD95" s="275"/>
      <c r="CE95" s="275"/>
      <c r="CF95" s="275"/>
      <c r="CG95" s="275"/>
      <c r="CH95" s="275"/>
      <c r="CI95" s="275"/>
      <c r="CJ95" s="275"/>
      <c r="CK95" s="275"/>
      <c r="CL95" s="275"/>
      <c r="CM95" s="275"/>
      <c r="CN95" s="275"/>
      <c r="CO95" s="275"/>
      <c r="CP95" s="275"/>
      <c r="CQ95" s="275"/>
      <c r="CR95" s="275"/>
      <c r="CS95" s="275"/>
      <c r="CT95" s="275"/>
      <c r="CU95" s="275"/>
      <c r="CV95" s="275"/>
      <c r="CW95" s="275"/>
      <c r="CX95" s="275"/>
      <c r="CY95" s="275"/>
      <c r="CZ95" s="275"/>
      <c r="DA95" s="275"/>
      <c r="DB95" s="275"/>
      <c r="DC95" s="275"/>
      <c r="DD95" s="275"/>
      <c r="DE95" s="275"/>
      <c r="DF95" s="275"/>
      <c r="DG95" s="275"/>
      <c r="DH95" s="275"/>
      <c r="DI95" s="275"/>
      <c r="DJ95" s="275"/>
      <c r="DK95" s="275"/>
      <c r="DL95" s="275"/>
      <c r="DM95" s="275"/>
      <c r="DN95" s="275"/>
      <c r="DO95" s="275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T24" sqref="T24"/>
    </sheetView>
  </sheetViews>
  <sheetFormatPr baseColWidth="10" defaultColWidth="0" defaultRowHeight="12.75" x14ac:dyDescent="0.2"/>
  <cols>
    <col min="1" max="1" width="2" style="248" customWidth="1"/>
    <col min="2" max="2" width="7.140625" style="248" customWidth="1"/>
    <col min="3" max="3" width="29.28515625" style="248" customWidth="1"/>
    <col min="4" max="4" width="1.28515625" style="248" bestFit="1" customWidth="1"/>
    <col min="5" max="5" width="6.140625" style="249" customWidth="1"/>
    <col min="6" max="7" width="6.140625" style="249" bestFit="1" customWidth="1"/>
    <col min="8" max="9" width="6.7109375" style="249" customWidth="1"/>
    <col min="10" max="10" width="6.42578125" style="249" customWidth="1"/>
    <col min="11" max="11" width="5.5703125" style="249" bestFit="1" customWidth="1"/>
    <col min="12" max="12" width="6.85546875" style="249" customWidth="1"/>
    <col min="13" max="13" width="7.85546875" style="249" bestFit="1" customWidth="1"/>
    <col min="14" max="14" width="6.85546875" style="249" customWidth="1"/>
    <col min="15" max="15" width="5.85546875" style="249" customWidth="1"/>
    <col min="16" max="16" width="5" style="249" customWidth="1"/>
    <col min="17" max="17" width="8.28515625" style="249" customWidth="1"/>
    <col min="18" max="18" width="2.28515625" style="249" customWidth="1"/>
    <col min="19" max="25" width="6.140625" style="249" bestFit="1" customWidth="1"/>
    <col min="26" max="28" width="5.7109375" style="249" bestFit="1" customWidth="1"/>
    <col min="29" max="29" width="4.7109375" style="249" bestFit="1" customWidth="1"/>
    <col min="30" max="30" width="5.7109375" style="249" customWidth="1"/>
    <col min="31" max="31" width="8.42578125" style="249" customWidth="1"/>
    <col min="32" max="32" width="2" style="249" bestFit="1" customWidth="1"/>
    <col min="33" max="33" width="5.5703125" style="249" customWidth="1"/>
    <col min="34" max="36" width="5.140625" style="249" bestFit="1" customWidth="1"/>
    <col min="37" max="39" width="4.42578125" style="249" customWidth="1"/>
    <col min="40" max="41" width="4.7109375" style="249" bestFit="1" customWidth="1"/>
    <col min="42" max="43" width="4.42578125" style="249" customWidth="1"/>
    <col min="44" max="44" width="4.7109375" style="249" bestFit="1" customWidth="1"/>
    <col min="45" max="45" width="6.140625" style="249" bestFit="1" customWidth="1"/>
    <col min="46" max="46" width="2" style="249" bestFit="1" customWidth="1"/>
    <col min="47" max="53" width="5.140625" style="249" hidden="1" customWidth="1"/>
    <col min="54" max="58" width="4.85546875" style="249" hidden="1" customWidth="1"/>
    <col min="59" max="59" width="6.140625" style="249" hidden="1" customWidth="1"/>
    <col min="60" max="60" width="4.7109375" style="249" customWidth="1"/>
    <col min="61" max="67" width="5.140625" style="249" hidden="1" customWidth="1"/>
    <col min="68" max="72" width="4.85546875" style="249" hidden="1" customWidth="1"/>
    <col min="73" max="73" width="6.140625" style="249" hidden="1" customWidth="1"/>
    <col min="74" max="74" width="4.7109375" style="249" customWidth="1"/>
    <col min="75" max="75" width="5" style="249" bestFit="1" customWidth="1"/>
    <col min="76" max="76" width="4" style="249" bestFit="1" customWidth="1"/>
    <col min="77" max="83" width="5" style="249" bestFit="1" customWidth="1"/>
    <col min="84" max="84" width="3.42578125" style="249" bestFit="1" customWidth="1"/>
    <col min="85" max="85" width="3.85546875" style="249" bestFit="1" customWidth="1"/>
    <col min="86" max="86" width="3.42578125" style="249" bestFit="1" customWidth="1"/>
    <col min="87" max="87" width="6" style="249" bestFit="1" customWidth="1"/>
    <col min="88" max="88" width="1.28515625" style="249" customWidth="1"/>
    <col min="89" max="101" width="5.85546875" style="249" customWidth="1"/>
    <col min="102" max="102" width="1" style="249" customWidth="1"/>
    <col min="103" max="103" width="6.140625" style="249" customWidth="1"/>
    <col min="104" max="110" width="5.7109375" style="249" customWidth="1"/>
    <col min="111" max="111" width="6.5703125" style="249" customWidth="1"/>
    <col min="112" max="114" width="5.7109375" style="249" customWidth="1"/>
    <col min="115" max="115" width="7.140625" style="251" bestFit="1" customWidth="1"/>
    <col min="116" max="116" width="1.140625" style="248" customWidth="1"/>
    <col min="117" max="117" width="6.5703125" style="249" customWidth="1"/>
    <col min="118" max="123" width="5.140625" style="249" bestFit="1" customWidth="1"/>
    <col min="124" max="124" width="5.7109375" style="249" bestFit="1" customWidth="1"/>
    <col min="125" max="125" width="4.85546875" style="249" bestFit="1" customWidth="1"/>
    <col min="126" max="126" width="5.7109375" style="249" bestFit="1" customWidth="1"/>
    <col min="127" max="128" width="4.85546875" style="249" bestFit="1" customWidth="1"/>
    <col min="129" max="129" width="7.28515625" style="251" bestFit="1" customWidth="1"/>
    <col min="130" max="130" width="1.5703125" style="250" customWidth="1"/>
    <col min="131" max="214" width="11.42578125" customWidth="1"/>
    <col min="215" max="219" width="1.28515625" style="249" hidden="1" customWidth="1"/>
    <col min="220" max="248" width="0" style="249" hidden="1" customWidth="1"/>
    <col min="249" max="253" width="1.28515625" style="249" hidden="1" customWidth="1"/>
    <col min="254" max="264" width="0" style="249" hidden="1" customWidth="1"/>
    <col min="265" max="269" width="1.28515625" style="249" hidden="1" customWidth="1"/>
    <col min="270" max="286" width="0" style="249" hidden="1" customWidth="1"/>
    <col min="287" max="16384" width="1.28515625" style="249" hidden="1"/>
  </cols>
  <sheetData>
    <row r="1" spans="2:215" ht="15.75" customHeight="1" x14ac:dyDescent="0.2"/>
    <row r="2" spans="2:215" ht="84.75" customHeight="1" x14ac:dyDescent="0.3">
      <c r="C2" s="252" t="str">
        <f>+NOMBRE!B7</f>
        <v>ENERO - JULIO 2024</v>
      </c>
      <c r="E2" s="985" t="s">
        <v>442</v>
      </c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253"/>
      <c r="S2" s="985" t="s">
        <v>204</v>
      </c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7"/>
      <c r="AF2" s="253"/>
      <c r="AG2" s="985" t="s">
        <v>526</v>
      </c>
      <c r="AH2" s="986"/>
      <c r="AI2" s="986"/>
      <c r="AJ2" s="986"/>
      <c r="AK2" s="986"/>
      <c r="AL2" s="986"/>
      <c r="AM2" s="986"/>
      <c r="AN2" s="986"/>
      <c r="AO2" s="986"/>
      <c r="AP2" s="986"/>
      <c r="AQ2" s="986"/>
      <c r="AR2" s="986"/>
      <c r="AS2" s="987"/>
      <c r="AT2" s="253"/>
      <c r="AU2" s="985" t="s">
        <v>205</v>
      </c>
      <c r="AV2" s="986"/>
      <c r="AW2" s="986"/>
      <c r="AX2" s="986"/>
      <c r="AY2" s="986"/>
      <c r="AZ2" s="986"/>
      <c r="BA2" s="986"/>
      <c r="BB2" s="986"/>
      <c r="BC2" s="986"/>
      <c r="BD2" s="986"/>
      <c r="BE2" s="986"/>
      <c r="BF2" s="986"/>
      <c r="BG2" s="987"/>
      <c r="BH2" s="253"/>
      <c r="BI2" s="985" t="s">
        <v>206</v>
      </c>
      <c r="BJ2" s="986"/>
      <c r="BK2" s="986"/>
      <c r="BL2" s="986"/>
      <c r="BM2" s="986"/>
      <c r="BN2" s="986"/>
      <c r="BO2" s="986"/>
      <c r="BP2" s="986"/>
      <c r="BQ2" s="986"/>
      <c r="BR2" s="986"/>
      <c r="BS2" s="986"/>
      <c r="BT2" s="986"/>
      <c r="BU2" s="987"/>
      <c r="BV2" s="253"/>
      <c r="BW2" s="985" t="s">
        <v>207</v>
      </c>
      <c r="BX2" s="986"/>
      <c r="BY2" s="986"/>
      <c r="BZ2" s="986"/>
      <c r="CA2" s="986"/>
      <c r="CB2" s="986"/>
      <c r="CC2" s="986"/>
      <c r="CD2" s="986"/>
      <c r="CE2" s="986"/>
      <c r="CF2" s="986"/>
      <c r="CG2" s="986"/>
      <c r="CH2" s="986"/>
      <c r="CI2" s="987"/>
      <c r="CJ2" s="276"/>
      <c r="CK2" s="985" t="s">
        <v>208</v>
      </c>
      <c r="CL2" s="986"/>
      <c r="CM2" s="986"/>
      <c r="CN2" s="986"/>
      <c r="CO2" s="986"/>
      <c r="CP2" s="986"/>
      <c r="CQ2" s="986"/>
      <c r="CR2" s="986"/>
      <c r="CS2" s="986"/>
      <c r="CT2" s="986"/>
      <c r="CU2" s="986"/>
      <c r="CV2" s="986"/>
      <c r="CW2" s="987"/>
      <c r="CX2" s="253"/>
      <c r="CY2" s="985" t="s">
        <v>209</v>
      </c>
      <c r="CZ2" s="986"/>
      <c r="DA2" s="986"/>
      <c r="DB2" s="986"/>
      <c r="DC2" s="986"/>
      <c r="DD2" s="986"/>
      <c r="DE2" s="986"/>
      <c r="DF2" s="986"/>
      <c r="DG2" s="986"/>
      <c r="DH2" s="986"/>
      <c r="DI2" s="986"/>
      <c r="DJ2" s="986"/>
      <c r="DK2" s="987"/>
      <c r="DL2" s="253"/>
      <c r="DM2" s="988" t="s">
        <v>525</v>
      </c>
      <c r="DN2" s="989"/>
      <c r="DO2" s="989"/>
      <c r="DP2" s="989"/>
      <c r="DQ2" s="989"/>
      <c r="DR2" s="989"/>
      <c r="DS2" s="989"/>
      <c r="DT2" s="989"/>
      <c r="DU2" s="989"/>
      <c r="DV2" s="989"/>
      <c r="DW2" s="989"/>
      <c r="DX2" s="989"/>
      <c r="DY2" s="990"/>
      <c r="DZ2" s="254"/>
      <c r="HG2" s="254"/>
    </row>
    <row r="3" spans="2:215" ht="6.75" customHeight="1" x14ac:dyDescent="0.2"/>
    <row r="4" spans="2:215" s="255" customFormat="1" ht="12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256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256"/>
      <c r="AG4" s="984" t="s">
        <v>188</v>
      </c>
      <c r="AH4" s="984"/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256"/>
      <c r="AU4" s="984" t="s">
        <v>188</v>
      </c>
      <c r="AV4" s="984"/>
      <c r="AW4" s="984"/>
      <c r="AX4" s="984"/>
      <c r="AY4" s="984"/>
      <c r="AZ4" s="984"/>
      <c r="BA4" s="984"/>
      <c r="BB4" s="984"/>
      <c r="BC4" s="984"/>
      <c r="BD4" s="984"/>
      <c r="BE4" s="984"/>
      <c r="BF4" s="984"/>
      <c r="BG4" s="984"/>
      <c r="BH4" s="256"/>
      <c r="BI4" s="984" t="s">
        <v>188</v>
      </c>
      <c r="BJ4" s="984"/>
      <c r="BK4" s="984"/>
      <c r="BL4" s="984"/>
      <c r="BM4" s="984"/>
      <c r="BN4" s="984"/>
      <c r="BO4" s="984"/>
      <c r="BP4" s="984"/>
      <c r="BQ4" s="984"/>
      <c r="BR4" s="984"/>
      <c r="BS4" s="984"/>
      <c r="BT4" s="984"/>
      <c r="BU4" s="984"/>
      <c r="BV4" s="256"/>
      <c r="BW4" s="984" t="s">
        <v>188</v>
      </c>
      <c r="BX4" s="984"/>
      <c r="BY4" s="984"/>
      <c r="BZ4" s="984"/>
      <c r="CA4" s="984"/>
      <c r="CB4" s="984"/>
      <c r="CC4" s="984"/>
      <c r="CD4" s="984"/>
      <c r="CE4" s="984"/>
      <c r="CF4" s="984"/>
      <c r="CG4" s="984"/>
      <c r="CH4" s="984"/>
      <c r="CI4" s="984"/>
      <c r="CJ4" s="277"/>
      <c r="CK4" s="984" t="s">
        <v>188</v>
      </c>
      <c r="CL4" s="984"/>
      <c r="CM4" s="984"/>
      <c r="CN4" s="984"/>
      <c r="CO4" s="984"/>
      <c r="CP4" s="984"/>
      <c r="CQ4" s="984"/>
      <c r="CR4" s="984"/>
      <c r="CS4" s="984"/>
      <c r="CT4" s="984"/>
      <c r="CU4" s="984"/>
      <c r="CV4" s="984"/>
      <c r="CW4" s="984"/>
      <c r="CX4" s="256"/>
      <c r="CY4" s="984" t="s">
        <v>188</v>
      </c>
      <c r="CZ4" s="984"/>
      <c r="DA4" s="984"/>
      <c r="DB4" s="984"/>
      <c r="DC4" s="984"/>
      <c r="DD4" s="984"/>
      <c r="DE4" s="984"/>
      <c r="DF4" s="984"/>
      <c r="DG4" s="984"/>
      <c r="DH4" s="984"/>
      <c r="DI4" s="984"/>
      <c r="DJ4" s="984"/>
      <c r="DK4" s="984"/>
      <c r="DL4" s="256"/>
      <c r="DM4" s="984" t="s">
        <v>188</v>
      </c>
      <c r="DN4" s="984"/>
      <c r="DO4" s="984"/>
      <c r="DP4" s="984"/>
      <c r="DQ4" s="984"/>
      <c r="DR4" s="984"/>
      <c r="DS4" s="984"/>
      <c r="DT4" s="984"/>
      <c r="DU4" s="984"/>
      <c r="DV4" s="984"/>
      <c r="DW4" s="984"/>
      <c r="DX4" s="984"/>
      <c r="DY4" s="984"/>
      <c r="DZ4" s="257"/>
      <c r="EA4" s="256"/>
      <c r="EB4" s="256"/>
      <c r="EC4" s="256"/>
    </row>
    <row r="5" spans="2:215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R5" s="256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F5" s="256"/>
      <c r="AG5" s="622" t="s">
        <v>189</v>
      </c>
      <c r="AH5" s="622" t="s">
        <v>190</v>
      </c>
      <c r="AI5" s="622" t="s">
        <v>191</v>
      </c>
      <c r="AJ5" s="622" t="s">
        <v>192</v>
      </c>
      <c r="AK5" s="622" t="s">
        <v>193</v>
      </c>
      <c r="AL5" s="622" t="s">
        <v>194</v>
      </c>
      <c r="AM5" s="622" t="s">
        <v>195</v>
      </c>
      <c r="AN5" s="622" t="s">
        <v>196</v>
      </c>
      <c r="AO5" s="622" t="s">
        <v>197</v>
      </c>
      <c r="AP5" s="622" t="s">
        <v>198</v>
      </c>
      <c r="AQ5" s="622" t="s">
        <v>199</v>
      </c>
      <c r="AR5" s="622" t="s">
        <v>200</v>
      </c>
      <c r="AS5" s="260" t="s">
        <v>201</v>
      </c>
      <c r="AT5" s="256"/>
      <c r="AU5" s="622" t="s">
        <v>189</v>
      </c>
      <c r="AV5" s="622" t="s">
        <v>190</v>
      </c>
      <c r="AW5" s="622" t="s">
        <v>191</v>
      </c>
      <c r="AX5" s="622" t="s">
        <v>192</v>
      </c>
      <c r="AY5" s="622" t="s">
        <v>193</v>
      </c>
      <c r="AZ5" s="622" t="s">
        <v>194</v>
      </c>
      <c r="BA5" s="622" t="s">
        <v>195</v>
      </c>
      <c r="BB5" s="622" t="s">
        <v>196</v>
      </c>
      <c r="BC5" s="622" t="s">
        <v>197</v>
      </c>
      <c r="BD5" s="622" t="s">
        <v>198</v>
      </c>
      <c r="BE5" s="622" t="s">
        <v>199</v>
      </c>
      <c r="BF5" s="622" t="s">
        <v>200</v>
      </c>
      <c r="BG5" s="260" t="s">
        <v>201</v>
      </c>
      <c r="BH5" s="256"/>
      <c r="BI5" s="622" t="s">
        <v>189</v>
      </c>
      <c r="BJ5" s="622" t="s">
        <v>190</v>
      </c>
      <c r="BK5" s="622" t="s">
        <v>191</v>
      </c>
      <c r="BL5" s="622" t="s">
        <v>192</v>
      </c>
      <c r="BM5" s="622" t="s">
        <v>193</v>
      </c>
      <c r="BN5" s="622" t="s">
        <v>194</v>
      </c>
      <c r="BO5" s="622" t="s">
        <v>195</v>
      </c>
      <c r="BP5" s="622" t="s">
        <v>196</v>
      </c>
      <c r="BQ5" s="622" t="s">
        <v>197</v>
      </c>
      <c r="BR5" s="622" t="s">
        <v>198</v>
      </c>
      <c r="BS5" s="622" t="s">
        <v>199</v>
      </c>
      <c r="BT5" s="622" t="s">
        <v>200</v>
      </c>
      <c r="BU5" s="260" t="s">
        <v>201</v>
      </c>
      <c r="BV5" s="256"/>
      <c r="BW5" s="622" t="s">
        <v>189</v>
      </c>
      <c r="BX5" s="622" t="s">
        <v>190</v>
      </c>
      <c r="BY5" s="622" t="s">
        <v>191</v>
      </c>
      <c r="BZ5" s="622" t="s">
        <v>192</v>
      </c>
      <c r="CA5" s="622" t="s">
        <v>193</v>
      </c>
      <c r="CB5" s="622" t="s">
        <v>194</v>
      </c>
      <c r="CC5" s="622" t="s">
        <v>195</v>
      </c>
      <c r="CD5" s="622" t="s">
        <v>196</v>
      </c>
      <c r="CE5" s="622" t="s">
        <v>197</v>
      </c>
      <c r="CF5" s="622" t="s">
        <v>198</v>
      </c>
      <c r="CG5" s="622" t="s">
        <v>199</v>
      </c>
      <c r="CH5" s="622" t="s">
        <v>200</v>
      </c>
      <c r="CI5" s="260" t="s">
        <v>201</v>
      </c>
      <c r="CJ5" s="278"/>
      <c r="CK5" s="259" t="s">
        <v>189</v>
      </c>
      <c r="CL5" s="259" t="s">
        <v>190</v>
      </c>
      <c r="CM5" s="259" t="s">
        <v>191</v>
      </c>
      <c r="CN5" s="259" t="s">
        <v>192</v>
      </c>
      <c r="CO5" s="259" t="s">
        <v>193</v>
      </c>
      <c r="CP5" s="259" t="s">
        <v>194</v>
      </c>
      <c r="CQ5" s="259" t="s">
        <v>195</v>
      </c>
      <c r="CR5" s="259" t="s">
        <v>196</v>
      </c>
      <c r="CS5" s="259" t="s">
        <v>197</v>
      </c>
      <c r="CT5" s="259" t="s">
        <v>198</v>
      </c>
      <c r="CU5" s="259" t="s">
        <v>199</v>
      </c>
      <c r="CV5" s="259" t="s">
        <v>200</v>
      </c>
      <c r="CW5" s="260" t="s">
        <v>201</v>
      </c>
      <c r="CX5" s="256"/>
      <c r="CY5" s="259" t="s">
        <v>189</v>
      </c>
      <c r="CZ5" s="259" t="s">
        <v>190</v>
      </c>
      <c r="DA5" s="259" t="s">
        <v>191</v>
      </c>
      <c r="DB5" s="259" t="s">
        <v>192</v>
      </c>
      <c r="DC5" s="259" t="s">
        <v>193</v>
      </c>
      <c r="DD5" s="259" t="s">
        <v>194</v>
      </c>
      <c r="DE5" s="259" t="s">
        <v>195</v>
      </c>
      <c r="DF5" s="259" t="s">
        <v>196</v>
      </c>
      <c r="DG5" s="259" t="s">
        <v>197</v>
      </c>
      <c r="DH5" s="259" t="s">
        <v>198</v>
      </c>
      <c r="DI5" s="259" t="s">
        <v>199</v>
      </c>
      <c r="DJ5" s="259" t="s">
        <v>200</v>
      </c>
      <c r="DK5" s="467" t="s">
        <v>201</v>
      </c>
      <c r="DL5" s="256"/>
      <c r="DM5" s="259" t="s">
        <v>189</v>
      </c>
      <c r="DN5" s="259" t="s">
        <v>190</v>
      </c>
      <c r="DO5" s="259" t="s">
        <v>191</v>
      </c>
      <c r="DP5" s="259" t="s">
        <v>192</v>
      </c>
      <c r="DQ5" s="259" t="s">
        <v>193</v>
      </c>
      <c r="DR5" s="259" t="s">
        <v>194</v>
      </c>
      <c r="DS5" s="259" t="s">
        <v>195</v>
      </c>
      <c r="DT5" s="259" t="s">
        <v>196</v>
      </c>
      <c r="DU5" s="259" t="s">
        <v>197</v>
      </c>
      <c r="DV5" s="259" t="s">
        <v>198</v>
      </c>
      <c r="DW5" s="259" t="s">
        <v>199</v>
      </c>
      <c r="DX5" s="259" t="s">
        <v>200</v>
      </c>
      <c r="DY5" s="467" t="s">
        <v>201</v>
      </c>
      <c r="DZ5" s="256"/>
      <c r="EA5" s="256"/>
      <c r="EB5" s="256"/>
      <c r="EC5" s="256"/>
    </row>
    <row r="6" spans="2:215" s="258" customFormat="1" ht="12" x14ac:dyDescent="0.2">
      <c r="B6" s="150">
        <v>107307</v>
      </c>
      <c r="C6" s="151" t="s">
        <v>95</v>
      </c>
      <c r="E6" s="621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21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21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21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21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21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21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21"/>
      <c r="M6" s="621"/>
      <c r="N6" s="621"/>
      <c r="O6" s="621"/>
      <c r="P6" s="621"/>
      <c r="Q6" s="621">
        <f>SUM(E6:P6)</f>
        <v>4886</v>
      </c>
      <c r="R6" s="256"/>
      <c r="S6" s="621">
        <f>+[2]A04!$B$12</f>
        <v>1444</v>
      </c>
      <c r="T6" s="621">
        <f>+[3]A04!$B$12</f>
        <v>1884</v>
      </c>
      <c r="U6" s="621">
        <f>+[4]A04!$B$12</f>
        <v>1394</v>
      </c>
      <c r="V6" s="621">
        <f>+[5]A04!$B$12</f>
        <v>1464</v>
      </c>
      <c r="W6" s="621">
        <f>+[6]A04!$B$12</f>
        <v>1445</v>
      </c>
      <c r="X6" s="621">
        <f>+[7]A04!$B$12</f>
        <v>1391</v>
      </c>
      <c r="Y6" s="621">
        <f>+[8]A04!$B$12</f>
        <v>1575</v>
      </c>
      <c r="Z6" s="621"/>
      <c r="AA6" s="621"/>
      <c r="AB6" s="621"/>
      <c r="AC6" s="621"/>
      <c r="AD6" s="621"/>
      <c r="AE6" s="274">
        <f>SUM(S6:AD6)</f>
        <v>10597</v>
      </c>
      <c r="AF6" s="256"/>
      <c r="AG6" s="621">
        <f>+[2]A06!$C$12</f>
        <v>305</v>
      </c>
      <c r="AH6" s="621">
        <f>+[3]A06!$C$12</f>
        <v>179</v>
      </c>
      <c r="AI6" s="621">
        <f>+[4]A06!$C$12</f>
        <v>234</v>
      </c>
      <c r="AJ6" s="621">
        <f>+[5]A06!$C$12</f>
        <v>193</v>
      </c>
      <c r="AK6" s="621">
        <f>+[6]A06!$C$12</f>
        <v>244</v>
      </c>
      <c r="AL6" s="621">
        <f>+[7]A06!$C$12</f>
        <v>319</v>
      </c>
      <c r="AM6" s="621">
        <f>+[8]A06!$C$12</f>
        <v>300</v>
      </c>
      <c r="AN6" s="621"/>
      <c r="AO6" s="621"/>
      <c r="AP6" s="621"/>
      <c r="AQ6" s="621"/>
      <c r="AR6" s="621"/>
      <c r="AS6" s="274">
        <f>SUM(AG6:AR6)</f>
        <v>1774</v>
      </c>
      <c r="AT6" s="256"/>
      <c r="AU6" s="274">
        <v>0</v>
      </c>
      <c r="AV6" s="274">
        <v>0</v>
      </c>
      <c r="AW6" s="274">
        <v>0</v>
      </c>
      <c r="AX6" s="274">
        <v>0</v>
      </c>
      <c r="AY6" s="274">
        <v>0</v>
      </c>
      <c r="AZ6" s="274">
        <v>0</v>
      </c>
      <c r="BA6" s="274">
        <v>0</v>
      </c>
      <c r="BB6" s="274">
        <v>0</v>
      </c>
      <c r="BC6" s="274">
        <v>0</v>
      </c>
      <c r="BD6" s="274">
        <v>0</v>
      </c>
      <c r="BE6" s="274">
        <v>0</v>
      </c>
      <c r="BF6" s="274">
        <v>0</v>
      </c>
      <c r="BG6" s="274">
        <v>0</v>
      </c>
      <c r="BH6" s="256"/>
      <c r="BI6" s="274">
        <v>0</v>
      </c>
      <c r="BJ6" s="274">
        <v>0</v>
      </c>
      <c r="BK6" s="274">
        <v>0</v>
      </c>
      <c r="BL6" s="274">
        <v>0</v>
      </c>
      <c r="BM6" s="274">
        <v>0</v>
      </c>
      <c r="BN6" s="274">
        <v>0</v>
      </c>
      <c r="BO6" s="274">
        <v>0</v>
      </c>
      <c r="BP6" s="274">
        <v>0</v>
      </c>
      <c r="BQ6" s="274">
        <v>0</v>
      </c>
      <c r="BR6" s="274">
        <v>0</v>
      </c>
      <c r="BS6" s="274">
        <v>0</v>
      </c>
      <c r="BT6" s="274">
        <v>0</v>
      </c>
      <c r="BU6" s="274">
        <v>0</v>
      </c>
      <c r="BV6" s="256"/>
      <c r="BW6" s="621">
        <f>+[2]A23!$B$58+[2]A23!$B$63</f>
        <v>68</v>
      </c>
      <c r="BX6" s="621">
        <f>+[3]A23!$B$58+[3]A23!$B$63</f>
        <v>103</v>
      </c>
      <c r="BY6" s="621">
        <f>+[4]A23!$B$58+[4]A23!$B$63</f>
        <v>51</v>
      </c>
      <c r="BZ6" s="621">
        <f>+[5]A23!$B$58+[5]A23!$B$63</f>
        <v>69</v>
      </c>
      <c r="CA6" s="621">
        <f>+[6]A23!$B$58+[6]A23!$B$63</f>
        <v>69</v>
      </c>
      <c r="CB6" s="621">
        <f>+[7]A23!$B$58+[7]A23!$B$63</f>
        <v>111</v>
      </c>
      <c r="CC6" s="621">
        <f>+[8]A23!$B$58+[8]A23!$B$63</f>
        <v>66</v>
      </c>
      <c r="CD6" s="621"/>
      <c r="CE6" s="621"/>
      <c r="CF6" s="621"/>
      <c r="CG6" s="621"/>
      <c r="CH6" s="621"/>
      <c r="CI6" s="274">
        <f>SUM(BW6:CH6)</f>
        <v>537</v>
      </c>
      <c r="CJ6" s="256"/>
      <c r="CK6" s="611">
        <f>+[2]A32!$B$28+[2]A32!$C$134+[2]A32!$C$145</f>
        <v>0</v>
      </c>
      <c r="CL6" s="611">
        <f>+[3]A32!$B$28+[3]A32!$C$134+[3]A32!$C$145</f>
        <v>0</v>
      </c>
      <c r="CM6" s="611">
        <f>+[4]A32!$B$28+[4]A32!$C$134+[4]A32!$C$145</f>
        <v>0</v>
      </c>
      <c r="CN6" s="611">
        <f>+[5]A32!$B$28+[5]A32!$C$134+[5]A32!$C$145</f>
        <v>0</v>
      </c>
      <c r="CO6" s="611">
        <f>+[6]A32!$B$28+[6]A32!$C$134+[6]A32!$C$145</f>
        <v>0</v>
      </c>
      <c r="CP6" s="256">
        <v>0</v>
      </c>
      <c r="CQ6" s="256">
        <v>0</v>
      </c>
      <c r="CR6" s="256">
        <v>0</v>
      </c>
      <c r="CS6" s="256">
        <v>0</v>
      </c>
      <c r="CT6" s="256">
        <v>0</v>
      </c>
      <c r="CU6" s="256">
        <v>0</v>
      </c>
      <c r="CV6" s="256">
        <v>0</v>
      </c>
      <c r="CW6" s="262">
        <v>0</v>
      </c>
      <c r="CX6" s="256"/>
      <c r="CY6" s="611">
        <f>+E6+S6+AG6+AU6+BI6+BW6+CK6</f>
        <v>2499</v>
      </c>
      <c r="CZ6" s="261">
        <f t="shared" ref="CZ6:DJ12" si="0">+F6+T6+AH6+AV6+BJ6+BX6+CL6</f>
        <v>2631</v>
      </c>
      <c r="DA6" s="261">
        <f t="shared" si="0"/>
        <v>2326</v>
      </c>
      <c r="DB6" s="261">
        <f t="shared" si="0"/>
        <v>2425</v>
      </c>
      <c r="DC6" s="261">
        <f t="shared" si="0"/>
        <v>2554</v>
      </c>
      <c r="DD6" s="261">
        <f t="shared" si="0"/>
        <v>2581</v>
      </c>
      <c r="DE6" s="261">
        <f t="shared" si="0"/>
        <v>2778</v>
      </c>
      <c r="DF6" s="261">
        <f t="shared" si="0"/>
        <v>0</v>
      </c>
      <c r="DG6" s="261">
        <f t="shared" si="0"/>
        <v>0</v>
      </c>
      <c r="DH6" s="261">
        <f t="shared" si="0"/>
        <v>0</v>
      </c>
      <c r="DI6" s="261">
        <f t="shared" si="0"/>
        <v>0</v>
      </c>
      <c r="DJ6" s="261">
        <f t="shared" si="0"/>
        <v>0</v>
      </c>
      <c r="DK6" s="468">
        <f>SUM(CY6:DJ6)</f>
        <v>17794</v>
      </c>
      <c r="DL6" s="256"/>
      <c r="DM6" s="279">
        <f>SUM([2]A07!$AE$136,[2]A07!$AF$136)-SUM([2]A07!$AE$120,[2]A07!$AE$121,[2]A07!$AE$129,[2]A07!$AE$130,[2]A07!$AE$131,[2]A07!$AF$120,[2]A07!$AF$121,[2]A07!$AF$122,[2]A07!$AF$129,[2]A07!$AF$130,[2]A07!$AF$131)</f>
        <v>95</v>
      </c>
      <c r="DN6" s="279">
        <f>SUM([3]A07!$AE$136,[3]A07!$AF$136)-SUM([3]A07!$AE$120,[3]A07!$AE$121,[3]A07!$AE$129,[3]A07!$AE$130,[3]A07!$AE$131,[3]A07!$AF$120,[3]A07!$AF$121,[3]A07!$AF$122,[3]A07!$AF$129,[3]A07!$AF$130,[3]A07!$AF$131)</f>
        <v>101</v>
      </c>
      <c r="DO6" s="279">
        <f>SUM([4]A07!$AE$136,[4]A07!$AF$136)-SUM([4]A07!$AE$120,[4]A07!$AE$121,[4]A07!$AE$129,[4]A07!$AE$130,[4]A07!$AE$131,[4]A07!$AF$120,[4]A07!$AF$121,[4]A07!$AF$122,[4]A07!$AF$129,[4]A07!$AF$130,[4]A07!$AF$131)</f>
        <v>64</v>
      </c>
      <c r="DP6" s="279">
        <f>SUM([5]A07!$AE$136,[5]A07!$AF$136)-SUM([5]A07!$AE$120,[5]A07!$AE$121,[5]A07!$AE$129,[5]A07!$AE$130,[5]A07!$AE$131,[5]A07!$AF$120,[5]A07!$AF$121,[5]A07!$AF$122,[5]A07!$AF$129,[5]A07!$AF$130,[5]A07!$AF$131)</f>
        <v>40</v>
      </c>
      <c r="DQ6" s="279">
        <f>SUM([6]A07!$AE$136,[6]A07!$AF$136)-SUM([6]A07!$AE$120,[6]A07!$AE$121,[6]A07!$AE$129,[6]A07!$AE$130,[6]A07!$AE$131,[6]A07!$AF$120,[6]A07!$AF$121,[6]A07!$AF$122,[6]A07!$AF$129,[6]A07!$AF$130,[6]A07!$AF$131)</f>
        <v>97</v>
      </c>
      <c r="DR6" s="279">
        <f>SUM([7]A07!$AE$136,[7]A07!$AF$136)-SUM([7]A07!$AE$120,[7]A07!$AE$121,[7]A07!$AE$129,[7]A07!$AE$130,[7]A07!$AE$131,[7]A07!$AF$120,[7]A07!$AF$121,[7]A07!$AF$122,[7]A07!$AF$129,[7]A07!$AF$130,[7]A07!$AF$131)</f>
        <v>83</v>
      </c>
      <c r="DS6" s="279">
        <f>SUM([8]A07!$AE$136,[8]A07!$AF$136)-SUM([8]A07!$AE$120,[8]A07!$AE$121,[8]A07!$AE$129,[8]A07!$AE$130,[8]A07!$AE$131,[8]A07!$AF$120,[8]A07!$AF$121,[8]A07!$AF$122,[8]A07!$AF$129,[8]A07!$AF$130,[8]A07!$AF$131)</f>
        <v>98</v>
      </c>
      <c r="DT6" s="434"/>
      <c r="DU6" s="434"/>
      <c r="DV6" s="434"/>
      <c r="DW6" s="434"/>
      <c r="DX6" s="434"/>
      <c r="DY6" s="468">
        <f>SUM(DM6:DX6)</f>
        <v>578</v>
      </c>
      <c r="DZ6" s="256"/>
      <c r="EA6" s="795"/>
      <c r="EB6" s="795"/>
      <c r="EC6" s="795"/>
    </row>
    <row r="7" spans="2:215" s="258" customFormat="1" ht="12" x14ac:dyDescent="0.2">
      <c r="B7" s="150">
        <v>107308</v>
      </c>
      <c r="C7" s="151" t="s">
        <v>96</v>
      </c>
      <c r="E7" s="621">
        <f>+[9]A01!$C$11+[9]A01!$C$13+[9]A01!$C$15+[9]A01!$C$17+[9]A01!$C$19+[9]A01!$C$21+[9]A01!$C$23+[9]A01!$C$25+[9]A01!$C$27+[9]A01!$C$29+[9]A01!$C$31+[9]A01!$C$36+[9]A01!$C$44+[9]A01!$C$48+[9]A01!$C$51+[9]A01!$C$54+[9]A01!$C$57+[9]A01!$C$63</f>
        <v>323</v>
      </c>
      <c r="F7" s="621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184</v>
      </c>
      <c r="G7" s="621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337</v>
      </c>
      <c r="H7" s="621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394</v>
      </c>
      <c r="I7" s="621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617</v>
      </c>
      <c r="J7" s="621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512</v>
      </c>
      <c r="K7" s="621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491</v>
      </c>
      <c r="L7" s="621"/>
      <c r="M7" s="621"/>
      <c r="N7" s="621"/>
      <c r="O7" s="621"/>
      <c r="P7" s="621"/>
      <c r="Q7" s="274">
        <f t="shared" ref="Q7:Q8" si="1">SUM(E7:P7)</f>
        <v>2858</v>
      </c>
      <c r="R7" s="256"/>
      <c r="S7" s="621">
        <f>+[9]A04!$B$12</f>
        <v>956</v>
      </c>
      <c r="T7" s="621">
        <f>+[10]A04!$B$12</f>
        <v>1126</v>
      </c>
      <c r="U7" s="621">
        <f>+[11]A04!$B$12</f>
        <v>926</v>
      </c>
      <c r="V7" s="621">
        <f>+[12]A04!$B$12</f>
        <v>1088</v>
      </c>
      <c r="W7" s="621">
        <f>+[13]A04!$B$12</f>
        <v>1047</v>
      </c>
      <c r="X7" s="621">
        <f>+[14]A04!$B$12</f>
        <v>914</v>
      </c>
      <c r="Y7" s="621">
        <f>+[15]A04!$B$12</f>
        <v>1712</v>
      </c>
      <c r="Z7" s="621"/>
      <c r="AA7" s="621"/>
      <c r="AB7" s="621"/>
      <c r="AC7" s="621"/>
      <c r="AD7" s="621"/>
      <c r="AE7" s="274">
        <f t="shared" ref="AE7:AE12" si="2">SUM(S7:AD7)</f>
        <v>7769</v>
      </c>
      <c r="AF7" s="256"/>
      <c r="AG7" s="621">
        <f>+[9]A06!$C$12</f>
        <v>0</v>
      </c>
      <c r="AH7" s="621">
        <f>+[10]A06!$C$12</f>
        <v>71</v>
      </c>
      <c r="AI7" s="621">
        <f>+[11]A06!$C$12</f>
        <v>118</v>
      </c>
      <c r="AJ7" s="621">
        <f>+[12]A06!$C$12</f>
        <v>131</v>
      </c>
      <c r="AK7" s="621">
        <f>+[13]A06!$C$12</f>
        <v>190</v>
      </c>
      <c r="AL7" s="621">
        <f>+[14]A06!$C$12</f>
        <v>186</v>
      </c>
      <c r="AM7" s="621">
        <f>+[15]A06!$C$12</f>
        <v>271</v>
      </c>
      <c r="AN7" s="621"/>
      <c r="AO7" s="621"/>
      <c r="AP7" s="621"/>
      <c r="AQ7" s="621"/>
      <c r="AR7" s="621"/>
      <c r="AS7" s="274">
        <f t="shared" ref="AS7:AS12" si="3">SUM(AG7:AR7)</f>
        <v>967</v>
      </c>
      <c r="AT7" s="256"/>
      <c r="AU7" s="274">
        <v>0</v>
      </c>
      <c r="AV7" s="274">
        <v>0</v>
      </c>
      <c r="AW7" s="274">
        <v>0</v>
      </c>
      <c r="AX7" s="274">
        <v>0</v>
      </c>
      <c r="AY7" s="274">
        <v>0</v>
      </c>
      <c r="AZ7" s="274">
        <v>0</v>
      </c>
      <c r="BA7" s="274">
        <v>0</v>
      </c>
      <c r="BB7" s="274">
        <v>0</v>
      </c>
      <c r="BC7" s="274">
        <v>0</v>
      </c>
      <c r="BD7" s="274">
        <v>0</v>
      </c>
      <c r="BE7" s="274">
        <v>0</v>
      </c>
      <c r="BF7" s="274">
        <v>0</v>
      </c>
      <c r="BG7" s="274">
        <v>0</v>
      </c>
      <c r="BH7" s="256"/>
      <c r="BI7" s="274">
        <v>0</v>
      </c>
      <c r="BJ7" s="274">
        <v>0</v>
      </c>
      <c r="BK7" s="274">
        <v>0</v>
      </c>
      <c r="BL7" s="274">
        <v>0</v>
      </c>
      <c r="BM7" s="274">
        <v>0</v>
      </c>
      <c r="BN7" s="274">
        <v>0</v>
      </c>
      <c r="BO7" s="274">
        <v>0</v>
      </c>
      <c r="BP7" s="274">
        <v>0</v>
      </c>
      <c r="BQ7" s="274">
        <v>0</v>
      </c>
      <c r="BR7" s="274">
        <v>0</v>
      </c>
      <c r="BS7" s="274">
        <v>0</v>
      </c>
      <c r="BT7" s="274">
        <v>0</v>
      </c>
      <c r="BU7" s="274">
        <v>0</v>
      </c>
      <c r="BV7" s="256"/>
      <c r="BW7" s="621">
        <f>+[9]A23!$B$58+[9]A23!$B$63</f>
        <v>85</v>
      </c>
      <c r="BX7" s="621">
        <f>+[10]A23!$B$58+[10]A23!$B$63</f>
        <v>43</v>
      </c>
      <c r="BY7" s="621">
        <f>+[11]A23!$B$58+[11]A23!$B$63</f>
        <v>103</v>
      </c>
      <c r="BZ7" s="621">
        <f>+[12]A23!$B$58+[12]A23!$B$63</f>
        <v>37</v>
      </c>
      <c r="CA7" s="621">
        <f>+[13]A23!$B$58+[13]A23!$B$63</f>
        <v>89</v>
      </c>
      <c r="CB7" s="621">
        <f>+[14]A23!$B$58+[14]A23!$B$63</f>
        <v>71</v>
      </c>
      <c r="CC7" s="621">
        <f>+[15]A23!$B$58+[15]A23!$B$63</f>
        <v>113</v>
      </c>
      <c r="CD7" s="621"/>
      <c r="CE7" s="621"/>
      <c r="CF7" s="621"/>
      <c r="CG7" s="621"/>
      <c r="CH7" s="621"/>
      <c r="CI7" s="274">
        <f t="shared" ref="CI7:CI12" si="4">SUM(BW7:CH7)</f>
        <v>541</v>
      </c>
      <c r="CJ7" s="256"/>
      <c r="CK7" s="611">
        <f>+[9]A32!$B$28+[9]A32!$C$134+[9]A32!$C$145</f>
        <v>0</v>
      </c>
      <c r="CL7" s="611">
        <f>+[10]A32!$B$28+[10]A32!$C$134+[10]A32!$C$145</f>
        <v>0</v>
      </c>
      <c r="CM7" s="611">
        <f>+[11]A32!$B$28+[11]A32!$C$134+[11]A32!$C$145</f>
        <v>0</v>
      </c>
      <c r="CN7" s="611">
        <f>+[12]A32!$B$28+[12]A32!$C$134+[12]A32!$C$145</f>
        <v>0</v>
      </c>
      <c r="CO7" s="611">
        <f>+[13]A32!$B$28+[13]A32!$C$134+[13]A32!$C$145</f>
        <v>0</v>
      </c>
      <c r="CP7" s="256">
        <v>0</v>
      </c>
      <c r="CQ7" s="256">
        <v>0</v>
      </c>
      <c r="CR7" s="256">
        <v>0</v>
      </c>
      <c r="CS7" s="256">
        <v>0</v>
      </c>
      <c r="CT7" s="256">
        <v>0</v>
      </c>
      <c r="CU7" s="256">
        <v>0</v>
      </c>
      <c r="CV7" s="256">
        <v>0</v>
      </c>
      <c r="CW7" s="262">
        <v>0</v>
      </c>
      <c r="CX7" s="256"/>
      <c r="CY7" s="261">
        <f t="shared" ref="CY7:CY12" si="5">+E7+S7+AG7+AU7+BI7+BW7+CK7</f>
        <v>1364</v>
      </c>
      <c r="CZ7" s="261">
        <f t="shared" si="0"/>
        <v>1424</v>
      </c>
      <c r="DA7" s="261">
        <f t="shared" si="0"/>
        <v>1484</v>
      </c>
      <c r="DB7" s="261">
        <f t="shared" si="0"/>
        <v>1650</v>
      </c>
      <c r="DC7" s="261">
        <f t="shared" si="0"/>
        <v>1943</v>
      </c>
      <c r="DD7" s="261">
        <f t="shared" si="0"/>
        <v>1683</v>
      </c>
      <c r="DE7" s="261">
        <f t="shared" si="0"/>
        <v>2587</v>
      </c>
      <c r="DF7" s="261">
        <f t="shared" si="0"/>
        <v>0</v>
      </c>
      <c r="DG7" s="261">
        <f t="shared" si="0"/>
        <v>0</v>
      </c>
      <c r="DH7" s="261">
        <f t="shared" si="0"/>
        <v>0</v>
      </c>
      <c r="DI7" s="261">
        <f t="shared" si="0"/>
        <v>0</v>
      </c>
      <c r="DJ7" s="261">
        <f t="shared" si="0"/>
        <v>0</v>
      </c>
      <c r="DK7" s="468">
        <f t="shared" ref="DK7:DK12" si="6">SUM(CY7:DJ7)</f>
        <v>12135</v>
      </c>
      <c r="DL7" s="256"/>
      <c r="DM7" s="279">
        <f>SUM([9]A07!$AE$136,[9]A07!$AF$136)-SUM([9]A07!$AE$120,[9]A07!$AE$121,[9]A07!$AE$129,[9]A07!$AE$130,[9]A07!$AE$131,[9]A07!$AF$120,[9]A07!$AF$121,[9]A07!$AF$122,[9]A07!$AF$129,[9]A07!$AF$130,[9]A07!$AF$131)</f>
        <v>61</v>
      </c>
      <c r="DN7" s="279">
        <f>SUM([10]A07!$AE$136,[10]A07!$AF$136)-SUM([10]A07!$AE$120,[10]A07!$AE$121,[10]A07!$AE$129,[10]A07!$AE$130,[10]A07!$AE$131,[10]A07!$AF$120,[10]A07!$AF$121,[10]A07!$AF$122,[10]A07!$AF$129,[10]A07!$AF$130,[10]A07!$AF$131)</f>
        <v>42</v>
      </c>
      <c r="DO7" s="279">
        <f>SUM([11]A07!$AE$136,[11]A07!$AF$136)-SUM([11]A07!$AE$120,[11]A07!$AE$121,[11]A07!$AE$129,[11]A07!$AE$130,[11]A07!$AE$131,[11]A07!$AF$120,[11]A07!$AF$121,[11]A07!$AF$122,[11]A07!$AF$129,[11]A07!$AF$130,[11]A07!$AF$131)</f>
        <v>74</v>
      </c>
      <c r="DP7" s="279">
        <f>SUM([12]A07!$AE$136,[12]A07!$AF$136)-SUM([12]A07!$AE$120,[12]A07!$AE$121,[12]A07!$AE$129,[12]A07!$AE$130,[12]A07!$AE$131,[12]A07!$AF$120,[12]A07!$AF$121,[12]A07!$AF$122,[12]A07!$AF$129,[12]A07!$AF$130,[12]A07!$AF$131)</f>
        <v>100</v>
      </c>
      <c r="DQ7" s="279">
        <f>SUM([13]A07!$AE$136,[13]A07!$AF$136)-SUM([13]A07!$AE$120,[13]A07!$AE$121,[13]A07!$AE$129,[13]A07!$AE$130,[13]A07!$AE$131,[13]A07!$AF$120,[13]A07!$AF$121,[13]A07!$AF$122,[13]A07!$AF$129,[13]A07!$AF$130,[13]A07!$AF$131)</f>
        <v>127</v>
      </c>
      <c r="DR7" s="279">
        <f>SUM([14]A07!$AE$136,[14]A07!$AF$136)-SUM([14]A07!$AE$120,[14]A07!$AE$121,[14]A07!$AE$129,[14]A07!$AE$130,[14]A07!$AE$131,[14]A07!$AF$120,[14]A07!$AF$121,[14]A07!$AF$122,[14]A07!$AF$129,[14]A07!$AF$130,[14]A07!$AF$131)</f>
        <v>79</v>
      </c>
      <c r="DS7" s="279">
        <f>SUM([15]A07!$AE$136,[15]A07!$AF$136)-SUM([15]A07!$AE$120,[15]A07!$AE$121,[15]A07!$AE$129,[15]A07!$AE$130,[15]A07!$AE$131,[15]A07!$AF$120,[15]A07!$AF$121,[15]A07!$AF$122,[15]A07!$AF$129,[15]A07!$AF$130,[15]A07!$AF$131)</f>
        <v>119</v>
      </c>
      <c r="DT7" s="434"/>
      <c r="DU7" s="434"/>
      <c r="DV7" s="434"/>
      <c r="DW7" s="434"/>
      <c r="DX7" s="434"/>
      <c r="DY7" s="468">
        <f t="shared" ref="DY7:DY12" si="7">SUM(DM7:DX7)</f>
        <v>602</v>
      </c>
      <c r="DZ7" s="256"/>
      <c r="EA7" s="279"/>
      <c r="EB7" s="434"/>
      <c r="EC7" s="256"/>
    </row>
    <row r="8" spans="2:215" s="258" customFormat="1" ht="12" x14ac:dyDescent="0.2">
      <c r="B8" s="150">
        <v>107353</v>
      </c>
      <c r="C8" s="151" t="s">
        <v>97</v>
      </c>
      <c r="E8" s="790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281</v>
      </c>
      <c r="F8" s="621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188</v>
      </c>
      <c r="G8" s="621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236</v>
      </c>
      <c r="H8" s="621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370</v>
      </c>
      <c r="I8" s="621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352</v>
      </c>
      <c r="J8" s="621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437</v>
      </c>
      <c r="K8" s="621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375</v>
      </c>
      <c r="L8" s="621"/>
      <c r="M8" s="621"/>
      <c r="N8" s="621"/>
      <c r="O8" s="621"/>
      <c r="P8" s="621"/>
      <c r="Q8" s="794">
        <f t="shared" si="1"/>
        <v>2239</v>
      </c>
      <c r="R8" s="256"/>
      <c r="S8" s="621">
        <f>+[16]A04!$B$12</f>
        <v>713</v>
      </c>
      <c r="T8" s="621">
        <f>+[17]A04!$B$12</f>
        <v>2882</v>
      </c>
      <c r="U8" s="621">
        <f>+[18]A04!$B$12</f>
        <v>800</v>
      </c>
      <c r="V8" s="621">
        <f>+[19]A04!$B$12</f>
        <v>1088</v>
      </c>
      <c r="W8" s="621">
        <f>+[20]A04!$B$12</f>
        <v>1108</v>
      </c>
      <c r="X8" s="621">
        <f>+[21]A04!$B$12</f>
        <v>1511</v>
      </c>
      <c r="Y8" s="621">
        <f>+[22]A04!$B$12</f>
        <v>1440</v>
      </c>
      <c r="Z8" s="621"/>
      <c r="AA8" s="621"/>
      <c r="AB8" s="621"/>
      <c r="AC8" s="621"/>
      <c r="AD8" s="621"/>
      <c r="AE8" s="274">
        <f t="shared" si="2"/>
        <v>9542</v>
      </c>
      <c r="AF8" s="256"/>
      <c r="AG8" s="621">
        <f>+[16]A06!$C$12</f>
        <v>54</v>
      </c>
      <c r="AH8" s="621">
        <f>+[17]A06!$C$12</f>
        <v>45</v>
      </c>
      <c r="AI8" s="621">
        <f>+[18]A06!$C$12</f>
        <v>62</v>
      </c>
      <c r="AJ8" s="621">
        <f>+[19]A06!$C$12</f>
        <v>72</v>
      </c>
      <c r="AK8" s="621">
        <f>+[20]A06!$C$12</f>
        <v>47</v>
      </c>
      <c r="AL8" s="621">
        <f>+[21]A06!$C$12</f>
        <v>0</v>
      </c>
      <c r="AM8" s="621">
        <f>+[22]A06!$C$12</f>
        <v>106</v>
      </c>
      <c r="AN8" s="621"/>
      <c r="AO8" s="621"/>
      <c r="AP8" s="621"/>
      <c r="AQ8" s="621"/>
      <c r="AR8" s="621"/>
      <c r="AS8" s="274">
        <f t="shared" si="3"/>
        <v>386</v>
      </c>
      <c r="AT8" s="256"/>
      <c r="AU8" s="274">
        <v>0</v>
      </c>
      <c r="AV8" s="274">
        <v>0</v>
      </c>
      <c r="AW8" s="274">
        <v>0</v>
      </c>
      <c r="AX8" s="274">
        <v>0</v>
      </c>
      <c r="AY8" s="274">
        <v>0</v>
      </c>
      <c r="AZ8" s="274">
        <v>0</v>
      </c>
      <c r="BA8" s="274">
        <v>0</v>
      </c>
      <c r="BB8" s="274">
        <v>0</v>
      </c>
      <c r="BC8" s="274">
        <v>0</v>
      </c>
      <c r="BD8" s="274">
        <v>0</v>
      </c>
      <c r="BE8" s="274">
        <v>0</v>
      </c>
      <c r="BF8" s="274">
        <v>0</v>
      </c>
      <c r="BG8" s="274">
        <v>0</v>
      </c>
      <c r="BH8" s="256"/>
      <c r="BI8" s="274">
        <v>0</v>
      </c>
      <c r="BJ8" s="274">
        <v>0</v>
      </c>
      <c r="BK8" s="274">
        <v>0</v>
      </c>
      <c r="BL8" s="274">
        <v>0</v>
      </c>
      <c r="BM8" s="274">
        <v>0</v>
      </c>
      <c r="BN8" s="274">
        <v>0</v>
      </c>
      <c r="BO8" s="274">
        <v>0</v>
      </c>
      <c r="BP8" s="274">
        <v>0</v>
      </c>
      <c r="BQ8" s="274">
        <v>0</v>
      </c>
      <c r="BR8" s="274">
        <v>0</v>
      </c>
      <c r="BS8" s="274">
        <v>0</v>
      </c>
      <c r="BT8" s="274">
        <v>0</v>
      </c>
      <c r="BU8" s="274">
        <v>0</v>
      </c>
      <c r="BV8" s="256"/>
      <c r="BW8" s="621">
        <f>+[16]A23!$B$58+[16]A23!$B$63</f>
        <v>6</v>
      </c>
      <c r="BX8" s="621">
        <f>+[17]A23!$B$58+[17]A23!$B$63</f>
        <v>11</v>
      </c>
      <c r="BY8" s="621">
        <f>+[18]A23!$B$58+[18]A23!$B$63</f>
        <v>0</v>
      </c>
      <c r="BZ8" s="621">
        <f>+[19]A23!$B$58+[19]A23!$B$63</f>
        <v>25</v>
      </c>
      <c r="CA8" s="621">
        <f>+[20]A23!$B$58+[20]A23!$B$63</f>
        <v>22</v>
      </c>
      <c r="CB8" s="621">
        <f>+[21]A23!$B$58+[21]A23!$B$63</f>
        <v>34</v>
      </c>
      <c r="CC8" s="621">
        <f>+[22]A23!$B$58+[22]A23!$B$63</f>
        <v>31</v>
      </c>
      <c r="CD8" s="621"/>
      <c r="CE8" s="621"/>
      <c r="CF8" s="621"/>
      <c r="CG8" s="621"/>
      <c r="CH8" s="621"/>
      <c r="CI8" s="274">
        <f t="shared" si="4"/>
        <v>129</v>
      </c>
      <c r="CJ8" s="256"/>
      <c r="CK8" s="611">
        <f>+[16]A32!$B$28+[16]A32!$C$134+[16]A32!$C$145</f>
        <v>0</v>
      </c>
      <c r="CL8" s="611">
        <f>+[17]A32!$B$28+[17]A32!$C$134+[17]A32!$C$145</f>
        <v>0</v>
      </c>
      <c r="CM8" s="611">
        <f>+[18]A32!$B$28+[18]A32!$C$134+[18]A32!$C$145</f>
        <v>0</v>
      </c>
      <c r="CN8" s="611">
        <f>+[19]A32!$B$28+[19]A32!$C$134+[19]A32!$C$145</f>
        <v>0</v>
      </c>
      <c r="CO8" s="611">
        <f>+[20]A32!$B$28+[20]A32!$C$134+[20]A32!$C$145</f>
        <v>0</v>
      </c>
      <c r="CP8" s="256">
        <v>0</v>
      </c>
      <c r="CQ8" s="256">
        <v>0</v>
      </c>
      <c r="CR8" s="256">
        <v>0</v>
      </c>
      <c r="CS8" s="256">
        <v>0</v>
      </c>
      <c r="CT8" s="256">
        <v>0</v>
      </c>
      <c r="CU8" s="256">
        <v>0</v>
      </c>
      <c r="CV8" s="256">
        <v>0</v>
      </c>
      <c r="CW8" s="262">
        <v>0</v>
      </c>
      <c r="CX8" s="256"/>
      <c r="CY8" s="793">
        <f>+E8+S8+AG8+AU8+BI8+BW8+CK8</f>
        <v>1054</v>
      </c>
      <c r="CZ8" s="261">
        <f t="shared" si="0"/>
        <v>3126</v>
      </c>
      <c r="DA8" s="261">
        <f t="shared" si="0"/>
        <v>1098</v>
      </c>
      <c r="DB8" s="261">
        <f t="shared" si="0"/>
        <v>1555</v>
      </c>
      <c r="DC8" s="261">
        <f t="shared" si="0"/>
        <v>1529</v>
      </c>
      <c r="DD8" s="261">
        <f t="shared" si="0"/>
        <v>1982</v>
      </c>
      <c r="DE8" s="261">
        <f t="shared" si="0"/>
        <v>1952</v>
      </c>
      <c r="DF8" s="261">
        <f t="shared" si="0"/>
        <v>0</v>
      </c>
      <c r="DG8" s="261">
        <f t="shared" si="0"/>
        <v>0</v>
      </c>
      <c r="DH8" s="261">
        <f t="shared" si="0"/>
        <v>0</v>
      </c>
      <c r="DI8" s="261">
        <f t="shared" si="0"/>
        <v>0</v>
      </c>
      <c r="DJ8" s="261">
        <f t="shared" si="0"/>
        <v>0</v>
      </c>
      <c r="DK8" s="468">
        <f t="shared" si="6"/>
        <v>12296</v>
      </c>
      <c r="DL8" s="256"/>
      <c r="DM8" s="279">
        <f>SUM([16]A07!$AE$136,[16]A07!$AF$136)-SUM([16]A07!$AE$120,[16]A07!$AE$121,[16]A07!$AE$129,[16]A07!$AE$130,[16]A07!$AE$131,[16]A07!$AF$120,[16]A07!$AF$121,[16]A07!$AF$122,[16]A07!$AF$129,[16]A07!$AF$130,[16]A07!$AF$131)</f>
        <v>130</v>
      </c>
      <c r="DN8" s="279">
        <f>SUM([17]A07!$AE$136,[17]A07!$AF$136)-SUM([17]A07!$AE$120,[17]A07!$AE$121,[17]A07!$AE$129,[17]A07!$AE$130,[17]A07!$AE$131,[17]A07!$AF$120,[17]A07!$AF$121,[17]A07!$AF$122,[17]A07!$AF$129,[17]A07!$AF$130,[17]A07!$AF$131)</f>
        <v>120</v>
      </c>
      <c r="DO8" s="279">
        <f>SUM([18]A07!$AE$136,[18]A07!$AF$136)-SUM([18]A07!$AE$120,[18]A07!$AE$121,[18]A07!$AE$129,[18]A07!$AE$130,[18]A07!$AE$131,[18]A07!$AF$120,[18]A07!$AF$121,[18]A07!$AF$122,[18]A07!$AF$129,[18]A07!$AF$130,[18]A07!$AF$131)</f>
        <v>217</v>
      </c>
      <c r="DP8" s="279">
        <f>SUM([19]A07!$AE$136,[19]A07!$AF$136)-SUM([19]A07!$AE$120,[19]A07!$AE$121,[19]A07!$AE$129,[19]A07!$AE$130,[19]A07!$AE$131,[19]A07!$AF$120,[19]A07!$AF$121,[19]A07!$AF$122,[19]A07!$AF$129,[19]A07!$AF$130,[19]A07!$AF$131)</f>
        <v>109</v>
      </c>
      <c r="DQ8" s="279">
        <f>SUM([20]A07!$AE$136,[20]A07!$AF$136)-SUM([20]A07!$AE$120,[20]A07!$AE$121,[20]A07!$AE$129,[20]A07!$AE$130,[20]A07!$AE$131,[20]A07!$AF$120,[20]A07!$AF$121,[20]A07!$AF$122,[20]A07!$AF$129,[20]A07!$AF$130,[20]A07!$AF$131)</f>
        <v>122</v>
      </c>
      <c r="DR8" s="279">
        <f>SUM([21]A07!$AE$136,[21]A07!$AF$136)-SUM([21]A07!$AE$120,[21]A07!$AE$121,[21]A07!$AE$129,[21]A07!$AE$130,[21]A07!$AE$131,[21]A07!$AF$120,[21]A07!$AF$121,[21]A07!$AF$122,[21]A07!$AF$129,[21]A07!$AF$130,[21]A07!$AF$131)</f>
        <v>417</v>
      </c>
      <c r="DS8" s="279">
        <f>SUM([22]A07!$AE$136,[22]A07!$AF$136)-SUM([22]A07!$AE$120,[22]A07!$AE$121,[22]A07!$AE$129,[22]A07!$AE$130,[22]A07!$AE$131,[22]A07!$AF$120,[22]A07!$AF$121,[22]A07!$AF$122,[22]A07!$AF$129,[22]A07!$AF$130,[22]A07!$AF$131)</f>
        <v>471</v>
      </c>
      <c r="DT8" s="434"/>
      <c r="DU8" s="434"/>
      <c r="DV8" s="434"/>
      <c r="DW8" s="434"/>
      <c r="DX8" s="434"/>
      <c r="DY8" s="468">
        <f t="shared" si="7"/>
        <v>1586</v>
      </c>
      <c r="DZ8" s="256"/>
      <c r="EA8" s="279"/>
      <c r="EB8" s="256"/>
      <c r="EC8" s="256"/>
    </row>
    <row r="9" spans="2:215" s="258" customFormat="1" ht="12" x14ac:dyDescent="0.2">
      <c r="B9" s="150">
        <v>107356</v>
      </c>
      <c r="C9" s="151" t="s">
        <v>98</v>
      </c>
      <c r="E9" s="621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585</v>
      </c>
      <c r="F9" s="621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260</v>
      </c>
      <c r="G9" s="621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285</v>
      </c>
      <c r="H9" s="621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462</v>
      </c>
      <c r="I9" s="621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631</v>
      </c>
      <c r="J9" s="621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398</v>
      </c>
      <c r="K9" s="621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444</v>
      </c>
      <c r="L9" s="621"/>
      <c r="M9" s="621"/>
      <c r="N9" s="621"/>
      <c r="O9" s="621"/>
      <c r="P9" s="621"/>
      <c r="Q9" s="274">
        <f>SUM(E9:P9)</f>
        <v>3065</v>
      </c>
      <c r="R9" s="256"/>
      <c r="S9" s="621">
        <f>+[23]A04!$B$12</f>
        <v>1773</v>
      </c>
      <c r="T9" s="621">
        <f>+[24]A04!$B$12</f>
        <v>421</v>
      </c>
      <c r="U9" s="621">
        <f>+[25]A04!$B$12</f>
        <v>988</v>
      </c>
      <c r="V9" s="621">
        <f>+[26]A04!$B$12</f>
        <v>885</v>
      </c>
      <c r="W9" s="621">
        <f>+[27]A04!$B$12</f>
        <v>869</v>
      </c>
      <c r="X9" s="621">
        <f>+[28]A04!$B$12</f>
        <v>1034</v>
      </c>
      <c r="Y9" s="621">
        <f>+[29]A04!$B$12</f>
        <v>1098</v>
      </c>
      <c r="Z9" s="621"/>
      <c r="AA9" s="621"/>
      <c r="AB9" s="621"/>
      <c r="AC9" s="621"/>
      <c r="AD9" s="621"/>
      <c r="AE9" s="274">
        <f t="shared" si="2"/>
        <v>7068</v>
      </c>
      <c r="AF9" s="256"/>
      <c r="AG9" s="621">
        <f>+[23]A06!$C$12</f>
        <v>120</v>
      </c>
      <c r="AH9" s="621">
        <f>+[24]A06!$C$12</f>
        <v>78</v>
      </c>
      <c r="AI9" s="621">
        <f>+[25]A06!$C$12</f>
        <v>83</v>
      </c>
      <c r="AJ9" s="621">
        <f>+[26]A06!$C$12</f>
        <v>90</v>
      </c>
      <c r="AK9" s="621">
        <f>+[27]A06!$C$12</f>
        <v>92</v>
      </c>
      <c r="AL9" s="621">
        <f>+[28]A06!$C$12</f>
        <v>113</v>
      </c>
      <c r="AM9" s="621">
        <f>+[29]A06!$C$12</f>
        <v>149</v>
      </c>
      <c r="AN9" s="621"/>
      <c r="AO9" s="621"/>
      <c r="AP9" s="621"/>
      <c r="AQ9" s="621"/>
      <c r="AR9" s="621"/>
      <c r="AS9" s="274">
        <f t="shared" si="3"/>
        <v>725</v>
      </c>
      <c r="AT9" s="256"/>
      <c r="AU9" s="274">
        <v>0</v>
      </c>
      <c r="AV9" s="274">
        <v>0</v>
      </c>
      <c r="AW9" s="274">
        <v>0</v>
      </c>
      <c r="AX9" s="274">
        <v>0</v>
      </c>
      <c r="AY9" s="274">
        <v>0</v>
      </c>
      <c r="AZ9" s="274">
        <v>0</v>
      </c>
      <c r="BA9" s="274">
        <v>0</v>
      </c>
      <c r="BB9" s="274">
        <v>0</v>
      </c>
      <c r="BC9" s="274">
        <v>0</v>
      </c>
      <c r="BD9" s="274">
        <v>0</v>
      </c>
      <c r="BE9" s="274">
        <v>0</v>
      </c>
      <c r="BF9" s="274">
        <v>0</v>
      </c>
      <c r="BG9" s="274">
        <v>0</v>
      </c>
      <c r="BH9" s="256"/>
      <c r="BI9" s="274">
        <v>0</v>
      </c>
      <c r="BJ9" s="274">
        <v>0</v>
      </c>
      <c r="BK9" s="274">
        <v>0</v>
      </c>
      <c r="BL9" s="274">
        <v>0</v>
      </c>
      <c r="BM9" s="274">
        <v>0</v>
      </c>
      <c r="BN9" s="274">
        <v>0</v>
      </c>
      <c r="BO9" s="274">
        <v>0</v>
      </c>
      <c r="BP9" s="274">
        <v>0</v>
      </c>
      <c r="BQ9" s="274">
        <v>0</v>
      </c>
      <c r="BR9" s="274">
        <v>0</v>
      </c>
      <c r="BS9" s="274">
        <v>0</v>
      </c>
      <c r="BT9" s="274">
        <v>0</v>
      </c>
      <c r="BU9" s="274">
        <v>0</v>
      </c>
      <c r="BV9" s="256"/>
      <c r="BW9" s="621">
        <f>+[23]A23!$B$58+[23]A23!$B$63</f>
        <v>0</v>
      </c>
      <c r="BX9" s="621">
        <f>+[24]A23!$B$58+[24]A23!$B$63</f>
        <v>10</v>
      </c>
      <c r="BY9" s="621">
        <f>+[25]A23!$B$58+[25]A23!$B$63</f>
        <v>0</v>
      </c>
      <c r="BZ9" s="621">
        <f>+[26]A23!$B$58+[26]A23!$B$63</f>
        <v>17</v>
      </c>
      <c r="CA9" s="621">
        <f>+[27]A23!$B$58+[27]A23!$B$63</f>
        <v>14</v>
      </c>
      <c r="CB9" s="621">
        <f>+[28]A23!$B$58+[28]A23!$B$63</f>
        <v>11</v>
      </c>
      <c r="CC9" s="621">
        <f>+[29]A23!$B$58+[29]A23!$B$63</f>
        <v>25</v>
      </c>
      <c r="CD9" s="621"/>
      <c r="CE9" s="621"/>
      <c r="CF9" s="621"/>
      <c r="CG9" s="621"/>
      <c r="CH9" s="621"/>
      <c r="CI9" s="274">
        <f t="shared" si="4"/>
        <v>77</v>
      </c>
      <c r="CJ9" s="256"/>
      <c r="CK9" s="611">
        <f>+[23]A32!$B$28+[23]A32!$C$134+[23]A32!$C$145</f>
        <v>0</v>
      </c>
      <c r="CL9" s="611">
        <f>+[24]A32!$B$28+[24]A32!$C$134+[24]A32!$C$145</f>
        <v>0</v>
      </c>
      <c r="CM9" s="611">
        <f>+[25]A32!$B$28+[25]A32!$C$134+[25]A32!$C$145</f>
        <v>0</v>
      </c>
      <c r="CN9" s="611">
        <f>+[26]A32!$B$28+[26]A32!$C$134+[26]A32!$C$145</f>
        <v>0</v>
      </c>
      <c r="CO9" s="611">
        <f>+[27]A32!$B$28+[27]A32!$C$134+[27]A32!$C$145</f>
        <v>0</v>
      </c>
      <c r="CP9" s="256">
        <v>0</v>
      </c>
      <c r="CQ9" s="256">
        <v>0</v>
      </c>
      <c r="CR9" s="256">
        <v>0</v>
      </c>
      <c r="CS9" s="256">
        <v>0</v>
      </c>
      <c r="CT9" s="256">
        <v>0</v>
      </c>
      <c r="CU9" s="256">
        <v>0</v>
      </c>
      <c r="CV9" s="256">
        <v>0</v>
      </c>
      <c r="CW9" s="262">
        <v>0</v>
      </c>
      <c r="CX9" s="256"/>
      <c r="CY9" s="261">
        <f t="shared" si="5"/>
        <v>2478</v>
      </c>
      <c r="CZ9" s="261">
        <f t="shared" si="0"/>
        <v>769</v>
      </c>
      <c r="DA9" s="261">
        <f t="shared" si="0"/>
        <v>1356</v>
      </c>
      <c r="DB9" s="261">
        <f t="shared" si="0"/>
        <v>1454</v>
      </c>
      <c r="DC9" s="261">
        <f t="shared" si="0"/>
        <v>1606</v>
      </c>
      <c r="DD9" s="261">
        <f t="shared" si="0"/>
        <v>1556</v>
      </c>
      <c r="DE9" s="261">
        <f t="shared" si="0"/>
        <v>1716</v>
      </c>
      <c r="DF9" s="261">
        <f t="shared" si="0"/>
        <v>0</v>
      </c>
      <c r="DG9" s="261">
        <f t="shared" si="0"/>
        <v>0</v>
      </c>
      <c r="DH9" s="261">
        <f t="shared" si="0"/>
        <v>0</v>
      </c>
      <c r="DI9" s="261">
        <f t="shared" si="0"/>
        <v>0</v>
      </c>
      <c r="DJ9" s="261">
        <f t="shared" si="0"/>
        <v>0</v>
      </c>
      <c r="DK9" s="468">
        <f>SUM(CY9:DJ9)</f>
        <v>10935</v>
      </c>
      <c r="DL9" s="256"/>
      <c r="DM9" s="279">
        <f>SUM([23]A07!$AE$136,[23]A07!$AF$136)-SUM([23]A07!$AE$120,[23]A07!$AE$121,[23]A07!$AE$129,[23]A07!$AE$130,[23]A07!$AE$131,[23]A07!$AF$120,[23]A07!$AF$121,[23]A07!$AF$122,[23]A07!$AF$129,[23]A07!$AF$130,[23]A07!$AF$131)</f>
        <v>179</v>
      </c>
      <c r="DN9" s="279">
        <f>SUM([24]A07!$AE$136,[24]A07!$AF$136)-SUM([24]A07!$AE$120,[24]A07!$AE$121,[24]A07!$AE$129,[24]A07!$AE$130,[24]A07!$AE$131,[24]A07!$AF$120,[24]A07!$AF$121,[24]A07!$AF$122,[24]A07!$AF$129,[24]A07!$AF$130,[24]A07!$AF$131)</f>
        <v>164</v>
      </c>
      <c r="DO9" s="279">
        <f>SUM([25]A07!$AE$136,[25]A07!$AF$136)-SUM([25]A07!$AE$120,[25]A07!$AE$121,[25]A07!$AE$129,[25]A07!$AE$130,[25]A07!$AE$131,[25]A07!$AF$120,[25]A07!$AF$121,[25]A07!$AF$122,[25]A07!$AF$129,[25]A07!$AF$130,[25]A07!$AF$131)</f>
        <v>121</v>
      </c>
      <c r="DP9" s="279">
        <f>SUM([26]A07!$AE$136,[26]A07!$AF$136)-SUM([26]A07!$AE$120,[26]A07!$AE$121,[26]A07!$AE$129,[26]A07!$AE$130,[26]A07!$AE$131,[26]A07!$AF$120,[26]A07!$AF$121,[26]A07!$AF$122,[26]A07!$AF$129,[26]A07!$AF$130,[26]A07!$AF$131)</f>
        <v>135</v>
      </c>
      <c r="DQ9" s="279">
        <f>SUM([27]A07!$AE$136,[27]A07!$AF$136)-SUM([27]A07!$AE$120,[27]A07!$AE$121,[27]A07!$AE$129,[27]A07!$AE$130,[27]A07!$AE$131,[27]A07!$AF$120,[27]A07!$AF$121,[27]A07!$AF$122,[27]A07!$AF$129,[27]A07!$AF$130,[27]A07!$AF$131)</f>
        <v>107</v>
      </c>
      <c r="DR9" s="279">
        <f>SUM([28]A07!$AE$136,[28]A07!$AF$136)-SUM([28]A07!$AE$120,[28]A07!$AE$121,[28]A07!$AE$129,[28]A07!$AE$130,[28]A07!$AE$131,[28]A07!$AF$120,[28]A07!$AF$121,[28]A07!$AF$122,[28]A07!$AF$129,[28]A07!$AF$130,[28]A07!$AF$131)</f>
        <v>125</v>
      </c>
      <c r="DS9" s="279">
        <f>SUM([29]A07!$AE$136,[29]A07!$AF$136)-SUM([29]A07!$AE$120,[29]A07!$AE$121,[29]A07!$AE$129,[29]A07!$AE$130,[29]A07!$AE$131,[29]A07!$AF$120,[29]A07!$AF$121,[29]A07!$AF$122,[29]A07!$AF$129,[29]A07!$AF$130,[29]A07!$AF$131)</f>
        <v>29</v>
      </c>
      <c r="DT9" s="434"/>
      <c r="DU9" s="434"/>
      <c r="DV9" s="434"/>
      <c r="DW9" s="434"/>
      <c r="DX9" s="434"/>
      <c r="DY9" s="468">
        <f t="shared" si="7"/>
        <v>860</v>
      </c>
      <c r="DZ9" s="256"/>
      <c r="EA9" s="279"/>
      <c r="EB9" s="256"/>
      <c r="EC9" s="256"/>
    </row>
    <row r="10" spans="2:215" s="258" customFormat="1" ht="12" x14ac:dyDescent="0.2">
      <c r="B10" s="150">
        <v>107357</v>
      </c>
      <c r="C10" s="151" t="s">
        <v>99</v>
      </c>
      <c r="E10" s="790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164</v>
      </c>
      <c r="F10" s="621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210</v>
      </c>
      <c r="G10" s="621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348</v>
      </c>
      <c r="H10" s="621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241</v>
      </c>
      <c r="I10" s="621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213</v>
      </c>
      <c r="J10" s="621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79</v>
      </c>
      <c r="K10" s="621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222</v>
      </c>
      <c r="L10" s="621"/>
      <c r="M10" s="621"/>
      <c r="N10" s="621"/>
      <c r="O10" s="621"/>
      <c r="P10" s="621"/>
      <c r="Q10" s="794">
        <f t="shared" ref="Q10:Q12" si="8">SUM(E10:P10)</f>
        <v>1477</v>
      </c>
      <c r="R10" s="256"/>
      <c r="S10" s="621">
        <f>+[30]A04!$B$12</f>
        <v>1015</v>
      </c>
      <c r="T10" s="621">
        <f>+[31]A04!$B$12</f>
        <v>1621</v>
      </c>
      <c r="U10" s="621">
        <f>+[32]A04!$B$12</f>
        <v>1690</v>
      </c>
      <c r="V10" s="621">
        <f>+[33]A04!$B$12</f>
        <v>2150</v>
      </c>
      <c r="W10" s="621">
        <f>+[34]A04!$B$12</f>
        <v>1540</v>
      </c>
      <c r="X10" s="621">
        <f>+[35]A04!$B$12</f>
        <v>1528</v>
      </c>
      <c r="Y10" s="621">
        <f>+[36]A04!$B$12</f>
        <v>1363</v>
      </c>
      <c r="Z10" s="621"/>
      <c r="AA10" s="621"/>
      <c r="AB10" s="621"/>
      <c r="AC10" s="621"/>
      <c r="AD10" s="621"/>
      <c r="AE10" s="274">
        <f t="shared" si="2"/>
        <v>10907</v>
      </c>
      <c r="AF10" s="256"/>
      <c r="AG10" s="621">
        <f>+[30]A06!$C$12</f>
        <v>87</v>
      </c>
      <c r="AH10" s="621">
        <f>+[31]A06!$C$12</f>
        <v>67</v>
      </c>
      <c r="AI10" s="621">
        <f>+[32]A06!$C$12</f>
        <v>123</v>
      </c>
      <c r="AJ10" s="621">
        <f>+[33]A06!$C$12</f>
        <v>184</v>
      </c>
      <c r="AK10" s="621">
        <f>+[34]A06!$C$12</f>
        <v>116</v>
      </c>
      <c r="AL10" s="621">
        <f>+[35]A06!$C$12</f>
        <v>160</v>
      </c>
      <c r="AM10" s="621">
        <f>+[36]A06!$C$12</f>
        <v>153</v>
      </c>
      <c r="AN10" s="621"/>
      <c r="AO10" s="621"/>
      <c r="AP10" s="621"/>
      <c r="AQ10" s="621"/>
      <c r="AR10" s="621"/>
      <c r="AS10" s="274">
        <f t="shared" si="3"/>
        <v>890</v>
      </c>
      <c r="AT10" s="256"/>
      <c r="AU10" s="274">
        <v>0</v>
      </c>
      <c r="AV10" s="274">
        <v>0</v>
      </c>
      <c r="AW10" s="274">
        <v>0</v>
      </c>
      <c r="AX10" s="274">
        <v>0</v>
      </c>
      <c r="AY10" s="274">
        <v>0</v>
      </c>
      <c r="AZ10" s="274">
        <v>0</v>
      </c>
      <c r="BA10" s="274">
        <v>0</v>
      </c>
      <c r="BB10" s="274">
        <v>0</v>
      </c>
      <c r="BC10" s="274">
        <v>0</v>
      </c>
      <c r="BD10" s="274">
        <v>0</v>
      </c>
      <c r="BE10" s="274">
        <v>0</v>
      </c>
      <c r="BF10" s="274">
        <v>0</v>
      </c>
      <c r="BG10" s="274">
        <v>0</v>
      </c>
      <c r="BH10" s="256"/>
      <c r="BI10" s="274">
        <v>0</v>
      </c>
      <c r="BJ10" s="274">
        <v>0</v>
      </c>
      <c r="BK10" s="274">
        <v>0</v>
      </c>
      <c r="BL10" s="274">
        <v>0</v>
      </c>
      <c r="BM10" s="274">
        <v>0</v>
      </c>
      <c r="BN10" s="274">
        <v>0</v>
      </c>
      <c r="BO10" s="274">
        <v>0</v>
      </c>
      <c r="BP10" s="274">
        <v>0</v>
      </c>
      <c r="BQ10" s="274">
        <v>0</v>
      </c>
      <c r="BR10" s="274">
        <v>0</v>
      </c>
      <c r="BS10" s="274">
        <v>0</v>
      </c>
      <c r="BT10" s="274">
        <v>0</v>
      </c>
      <c r="BU10" s="274">
        <v>0</v>
      </c>
      <c r="BV10" s="256"/>
      <c r="BW10" s="621">
        <f>+[30]A23!$B$58+[30]A23!$B$63</f>
        <v>0</v>
      </c>
      <c r="BX10" s="621">
        <f>+[31]A23!$B$58+[31]A23!$B$63</f>
        <v>8</v>
      </c>
      <c r="BY10" s="621">
        <f>+[32]A23!$B$58+[32]A23!$B$63</f>
        <v>10</v>
      </c>
      <c r="BZ10" s="621">
        <f>+[33]A23!$B$58+[33]A23!$B$63</f>
        <v>0</v>
      </c>
      <c r="CA10" s="621">
        <f>+[34]A23!$B$58+[34]A23!$B$63</f>
        <v>19</v>
      </c>
      <c r="CB10" s="621">
        <f>+[35]A23!$B$58+[35]A23!$B$63</f>
        <v>53</v>
      </c>
      <c r="CC10" s="621">
        <f>+[36]A23!$B$58+[36]A23!$B$63</f>
        <v>82</v>
      </c>
      <c r="CD10" s="621"/>
      <c r="CE10" s="621"/>
      <c r="CF10" s="621"/>
      <c r="CG10" s="621"/>
      <c r="CH10" s="621"/>
      <c r="CI10" s="274">
        <f t="shared" si="4"/>
        <v>172</v>
      </c>
      <c r="CJ10" s="256"/>
      <c r="CK10" s="611">
        <f>+[30]A32!$B$28+[30]A32!$C$134+[30]A32!$C$145</f>
        <v>0</v>
      </c>
      <c r="CL10" s="611">
        <f>+[31]A32!$B$28+[31]A32!$C$134+[31]A32!$C$145</f>
        <v>0</v>
      </c>
      <c r="CM10" s="611">
        <f>+[32]A32!$B$28+[32]A32!$C$134+[32]A32!$C$145</f>
        <v>0</v>
      </c>
      <c r="CN10" s="611">
        <f>+[33]A32!$B$28+[33]A32!$C$134+[33]A32!$C$145</f>
        <v>0</v>
      </c>
      <c r="CO10" s="611">
        <f>+[34]A32!$B$28+[34]A32!$C$134+[34]A32!$C$145</f>
        <v>0</v>
      </c>
      <c r="CP10" s="256">
        <v>0</v>
      </c>
      <c r="CQ10" s="256">
        <v>0</v>
      </c>
      <c r="CR10" s="256">
        <v>0</v>
      </c>
      <c r="CS10" s="256">
        <v>0</v>
      </c>
      <c r="CT10" s="256">
        <v>0</v>
      </c>
      <c r="CU10" s="256">
        <v>0</v>
      </c>
      <c r="CV10" s="256">
        <v>0</v>
      </c>
      <c r="CW10" s="262">
        <v>0</v>
      </c>
      <c r="CX10" s="256"/>
      <c r="CY10" s="800">
        <f t="shared" si="5"/>
        <v>1266</v>
      </c>
      <c r="CZ10" s="261">
        <f t="shared" si="0"/>
        <v>1906</v>
      </c>
      <c r="DA10" s="261">
        <f t="shared" si="0"/>
        <v>2171</v>
      </c>
      <c r="DB10" s="261">
        <f t="shared" si="0"/>
        <v>2575</v>
      </c>
      <c r="DC10" s="261">
        <f t="shared" si="0"/>
        <v>1888</v>
      </c>
      <c r="DD10" s="261">
        <f t="shared" si="0"/>
        <v>1820</v>
      </c>
      <c r="DE10" s="261">
        <f t="shared" si="0"/>
        <v>1820</v>
      </c>
      <c r="DF10" s="261">
        <f t="shared" si="0"/>
        <v>0</v>
      </c>
      <c r="DG10" s="261">
        <f t="shared" si="0"/>
        <v>0</v>
      </c>
      <c r="DH10" s="261">
        <f t="shared" si="0"/>
        <v>0</v>
      </c>
      <c r="DI10" s="261">
        <f t="shared" si="0"/>
        <v>0</v>
      </c>
      <c r="DJ10" s="261">
        <f t="shared" si="0"/>
        <v>0</v>
      </c>
      <c r="DK10" s="468">
        <f t="shared" si="6"/>
        <v>13446</v>
      </c>
      <c r="DL10" s="256"/>
      <c r="DM10" s="279">
        <f>SUM([30]A07!$AE$136,[30]A07!$AF$136)-SUM([30]A07!$AE$120,[30]A07!$AE$121,[30]A07!$AE$129,[30]A07!$AE$130,[30]A07!$AE$131,[30]A07!$AF$120,[30]A07!$AF$121,[30]A07!$AF$122,[30]A07!$AF$129,[30]A07!$AF$130,[30]A07!$AF$131)</f>
        <v>356</v>
      </c>
      <c r="DN10" s="279">
        <f>SUM([31]A07!$AE$136,[31]A07!$AF$136)-SUM([31]A07!$AE$120,[31]A07!$AE$121,[31]A07!$AE$129,[31]A07!$AE$130,[31]A07!$AE$131,[31]A07!$AF$120,[31]A07!$AF$121,[31]A07!$AF$122,[31]A07!$AF$129,[31]A07!$AF$130,[31]A07!$AF$131)</f>
        <v>397</v>
      </c>
      <c r="DO10" s="279">
        <f>SUM([32]A07!$AE$136,[32]A07!$AF$136)-SUM([32]A07!$AE$120,[32]A07!$AE$121,[32]A07!$AE$129,[32]A07!$AE$130,[32]A07!$AE$131,[32]A07!$AF$120,[32]A07!$AF$121,[32]A07!$AF$122,[32]A07!$AF$129,[32]A07!$AF$130,[32]A07!$AF$131)</f>
        <v>405</v>
      </c>
      <c r="DP10" s="279">
        <f>SUM([33]A07!$AE$136,[33]A07!$AF$136)-SUM([33]A07!$AE$120,[33]A07!$AE$121,[33]A07!$AE$129,[33]A07!$AE$130,[33]A07!$AE$131,[33]A07!$AF$120,[33]A07!$AF$121,[33]A07!$AF$122,[33]A07!$AF$129,[33]A07!$AF$130,[33]A07!$AF$131)</f>
        <v>423</v>
      </c>
      <c r="DQ10" s="279">
        <f>SUM([34]A07!$AE$136,[34]A07!$AF$136)-SUM([34]A07!$AE$120,[34]A07!$AE$121,[34]A07!$AE$129,[34]A07!$AE$130,[34]A07!$AE$131,[34]A07!$AF$120,[34]A07!$AF$121,[34]A07!$AF$122,[34]A07!$AF$129,[34]A07!$AF$130,[34]A07!$AF$131)</f>
        <v>288</v>
      </c>
      <c r="DR10" s="279">
        <f>SUM([35]A07!$AE$136,[35]A07!$AF$136)-SUM([35]A07!$AE$120,[35]A07!$AE$121,[35]A07!$AE$129,[35]A07!$AE$130,[35]A07!$AE$131,[35]A07!$AF$120,[35]A07!$AF$121,[35]A07!$AF$122,[35]A07!$AF$129,[35]A07!$AF$130,[35]A07!$AF$131)</f>
        <v>394</v>
      </c>
      <c r="DS10" s="279">
        <f>SUM([36]A07!$AE$136,[36]A07!$AF$136)-SUM([36]A07!$AE$120,[36]A07!$AE$121,[36]A07!$AE$129,[36]A07!$AE$130,[36]A07!$AE$131,[36]A07!$AF$120,[36]A07!$AF$121,[36]A07!$AF$122,[36]A07!$AF$129,[36]A07!$AF$130,[36]A07!$AF$131)</f>
        <v>340</v>
      </c>
      <c r="DT10" s="434"/>
      <c r="DU10" s="434"/>
      <c r="DV10" s="434"/>
      <c r="DW10" s="434"/>
      <c r="DX10" s="434"/>
      <c r="DY10" s="468">
        <f t="shared" si="7"/>
        <v>2603</v>
      </c>
      <c r="DZ10" s="256"/>
      <c r="EA10" s="279"/>
      <c r="EB10" s="256"/>
      <c r="EC10" s="256"/>
    </row>
    <row r="11" spans="2:215" s="258" customFormat="1" ht="12" x14ac:dyDescent="0.2">
      <c r="B11" s="150">
        <v>107400</v>
      </c>
      <c r="C11" s="151" t="s">
        <v>100</v>
      </c>
      <c r="E11" s="621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36</v>
      </c>
      <c r="F11" s="621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</v>
      </c>
      <c r="G11" s="621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11</v>
      </c>
      <c r="H11" s="621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22</v>
      </c>
      <c r="I11" s="621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24</v>
      </c>
      <c r="J11" s="621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</v>
      </c>
      <c r="K11" s="621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16</v>
      </c>
      <c r="L11" s="621"/>
      <c r="M11" s="621"/>
      <c r="N11" s="621"/>
      <c r="O11" s="621"/>
      <c r="P11" s="621"/>
      <c r="Q11" s="274">
        <f t="shared" si="8"/>
        <v>120</v>
      </c>
      <c r="R11" s="256"/>
      <c r="S11" s="621">
        <f>+[37]A04!$B$12</f>
        <v>35</v>
      </c>
      <c r="T11" s="621">
        <f>+[38]A04!$B$12</f>
        <v>21</v>
      </c>
      <c r="U11" s="621">
        <f>+[39]A04!$B$12</f>
        <v>24</v>
      </c>
      <c r="V11" s="621">
        <f>+[40]A04!$B$12</f>
        <v>43</v>
      </c>
      <c r="W11" s="621">
        <f>+[41]A04!$B$12</f>
        <v>32</v>
      </c>
      <c r="X11" s="621">
        <f>+[42]A04!$B$12</f>
        <v>17</v>
      </c>
      <c r="Y11" s="621">
        <f>+[43]A04!$B$12</f>
        <v>28</v>
      </c>
      <c r="Z11" s="621"/>
      <c r="AA11" s="621"/>
      <c r="AB11" s="621"/>
      <c r="AC11" s="621"/>
      <c r="AD11" s="621"/>
      <c r="AE11" s="274">
        <f t="shared" si="2"/>
        <v>200</v>
      </c>
      <c r="AF11" s="256"/>
      <c r="AG11" s="621">
        <f>+[37]A06!$C$12</f>
        <v>2</v>
      </c>
      <c r="AH11" s="621">
        <f>+[38]A06!$C$12</f>
        <v>0</v>
      </c>
      <c r="AI11" s="621">
        <f>+[39]A06!$C$12</f>
        <v>2</v>
      </c>
      <c r="AJ11" s="621">
        <f>+[40]A06!$C$12</f>
        <v>2</v>
      </c>
      <c r="AK11" s="621">
        <f>+[41]A06!$C$12</f>
        <v>2</v>
      </c>
      <c r="AL11" s="621">
        <f>+[42]A06!$C$12</f>
        <v>1</v>
      </c>
      <c r="AM11" s="621">
        <f>+[43]A06!$C$12</f>
        <v>2</v>
      </c>
      <c r="AN11" s="621"/>
      <c r="AO11" s="621"/>
      <c r="AP11" s="621"/>
      <c r="AQ11" s="621"/>
      <c r="AR11" s="621"/>
      <c r="AS11" s="274">
        <f t="shared" si="3"/>
        <v>11</v>
      </c>
      <c r="AT11" s="256"/>
      <c r="AU11" s="274">
        <v>0</v>
      </c>
      <c r="AV11" s="274">
        <v>0</v>
      </c>
      <c r="AW11" s="274">
        <v>0</v>
      </c>
      <c r="AX11" s="274">
        <v>0</v>
      </c>
      <c r="AY11" s="274">
        <v>0</v>
      </c>
      <c r="AZ11" s="274">
        <v>0</v>
      </c>
      <c r="BA11" s="274">
        <v>0</v>
      </c>
      <c r="BB11" s="274">
        <v>0</v>
      </c>
      <c r="BC11" s="274">
        <v>0</v>
      </c>
      <c r="BD11" s="274">
        <v>0</v>
      </c>
      <c r="BE11" s="274">
        <v>0</v>
      </c>
      <c r="BF11" s="274">
        <v>0</v>
      </c>
      <c r="BG11" s="274">
        <v>0</v>
      </c>
      <c r="BH11" s="256"/>
      <c r="BI11" s="274">
        <v>0</v>
      </c>
      <c r="BJ11" s="274">
        <v>0</v>
      </c>
      <c r="BK11" s="274">
        <v>0</v>
      </c>
      <c r="BL11" s="274">
        <v>0</v>
      </c>
      <c r="BM11" s="274">
        <v>0</v>
      </c>
      <c r="BN11" s="274">
        <v>0</v>
      </c>
      <c r="BO11" s="274">
        <v>0</v>
      </c>
      <c r="BP11" s="274">
        <v>0</v>
      </c>
      <c r="BQ11" s="274">
        <v>0</v>
      </c>
      <c r="BR11" s="274">
        <v>0</v>
      </c>
      <c r="BS11" s="274">
        <v>0</v>
      </c>
      <c r="BT11" s="274">
        <v>0</v>
      </c>
      <c r="BU11" s="274">
        <v>0</v>
      </c>
      <c r="BV11" s="256"/>
      <c r="BW11" s="621">
        <f>+[37]A23!$B$58+[37]A23!$B$63</f>
        <v>0</v>
      </c>
      <c r="BX11" s="621">
        <f>+[38]A23!$B$58+[38]A23!$B$63</f>
        <v>0</v>
      </c>
      <c r="BY11" s="621">
        <f>+[39]A23!$B$58+[39]A23!$B$63</f>
        <v>0</v>
      </c>
      <c r="BZ11" s="621">
        <f>+[40]A23!$B$58+[40]A23!$B$63</f>
        <v>0</v>
      </c>
      <c r="CA11" s="621">
        <f>+[41]A23!$B$58+[41]A23!$B$63</f>
        <v>0</v>
      </c>
      <c r="CB11" s="621">
        <f>+[42]A23!$B$58+[42]A23!$B$63</f>
        <v>0</v>
      </c>
      <c r="CC11" s="621">
        <f>+[43]A23!$B$58+[43]A23!$B$63</f>
        <v>0</v>
      </c>
      <c r="CD11" s="621"/>
      <c r="CE11" s="621"/>
      <c r="CF11" s="621"/>
      <c r="CG11" s="621"/>
      <c r="CH11" s="621"/>
      <c r="CI11" s="274">
        <f t="shared" si="4"/>
        <v>0</v>
      </c>
      <c r="CJ11" s="256"/>
      <c r="CK11" s="611">
        <f>+[37]A32!$B$28+[37]A32!$C$134+[37]A32!$C$145</f>
        <v>0</v>
      </c>
      <c r="CL11" s="611">
        <f>+[38]A32!$B$28+[38]A32!$C$134+[38]A32!$C$145</f>
        <v>0</v>
      </c>
      <c r="CM11" s="611">
        <f>+[39]A32!$B$28+[39]A32!$C$134+[39]A32!$C$145</f>
        <v>0</v>
      </c>
      <c r="CN11" s="611">
        <f>+[40]A32!$B$28+[40]A32!$C$134+[40]A32!$C$145</f>
        <v>0</v>
      </c>
      <c r="CO11" s="611">
        <f>+[41]A32!$B$28+[41]A32!$C$134+[41]A32!$C$145</f>
        <v>0</v>
      </c>
      <c r="CP11" s="256">
        <v>0</v>
      </c>
      <c r="CQ11" s="256">
        <v>0</v>
      </c>
      <c r="CR11" s="256">
        <v>0</v>
      </c>
      <c r="CS11" s="256">
        <v>0</v>
      </c>
      <c r="CT11" s="256">
        <v>0</v>
      </c>
      <c r="CU11" s="256">
        <v>0</v>
      </c>
      <c r="CV11" s="256">
        <v>0</v>
      </c>
      <c r="CW11" s="262">
        <v>0</v>
      </c>
      <c r="CX11" s="256"/>
      <c r="CY11" s="261">
        <f t="shared" si="5"/>
        <v>73</v>
      </c>
      <c r="CZ11" s="261">
        <f t="shared" si="0"/>
        <v>26</v>
      </c>
      <c r="DA11" s="261">
        <f t="shared" si="0"/>
        <v>37</v>
      </c>
      <c r="DB11" s="261">
        <f t="shared" si="0"/>
        <v>67</v>
      </c>
      <c r="DC11" s="261">
        <f t="shared" si="0"/>
        <v>58</v>
      </c>
      <c r="DD11" s="261">
        <f t="shared" si="0"/>
        <v>24</v>
      </c>
      <c r="DE11" s="261">
        <f t="shared" si="0"/>
        <v>46</v>
      </c>
      <c r="DF11" s="261">
        <f t="shared" si="0"/>
        <v>0</v>
      </c>
      <c r="DG11" s="261">
        <f t="shared" si="0"/>
        <v>0</v>
      </c>
      <c r="DH11" s="261">
        <f t="shared" si="0"/>
        <v>0</v>
      </c>
      <c r="DI11" s="261">
        <f t="shared" si="0"/>
        <v>0</v>
      </c>
      <c r="DJ11" s="261">
        <f t="shared" si="0"/>
        <v>0</v>
      </c>
      <c r="DK11" s="468">
        <f t="shared" si="6"/>
        <v>331</v>
      </c>
      <c r="DL11" s="256"/>
      <c r="DM11" s="279">
        <f>SUM([37]A07!$AE$136,[37]A07!$AF$136)-SUM([37]A07!$AE$120,[37]A07!$AE$121,[37]A07!$AE$129,[37]A07!$AE$130,[37]A07!$AE$131,[37]A07!$AF$120,[37]A07!$AF$121,[37]A07!$AF$122,[37]A07!$AF$129,[37]A07!$AF$130,[37]A07!$AF$131)</f>
        <v>8</v>
      </c>
      <c r="DN11" s="279">
        <f>SUM([38]A07!$AE$136,[38]A07!$AF$136)-SUM([38]A07!$AE$120,[38]A07!$AE$121,[38]A07!$AE$129,[38]A07!$AE$130,[38]A07!$AE$131,[38]A07!$AF$120,[38]A07!$AF$121,[38]A07!$AF$122,[38]A07!$AF$129,[38]A07!$AF$130,[38]A07!$AF$131)</f>
        <v>8</v>
      </c>
      <c r="DO11" s="279">
        <f>SUM([39]A07!$AE$136,[39]A07!$AF$136)-SUM([39]A07!$AE$120,[39]A07!$AE$121,[39]A07!$AE$129,[39]A07!$AE$130,[39]A07!$AE$131,[39]A07!$AF$120,[39]A07!$AF$121,[39]A07!$AF$122,[39]A07!$AF$129,[39]A07!$AF$130,[39]A07!$AF$131)</f>
        <v>8</v>
      </c>
      <c r="DP11" s="279">
        <f>SUM([40]A07!$AE$136,[40]A07!$AF$136)-SUM([40]A07!$AE$120,[40]A07!$AE$121,[40]A07!$AE$129,[40]A07!$AE$130,[40]A07!$AE$131,[40]A07!$AF$120,[40]A07!$AF$121,[40]A07!$AF$122,[40]A07!$AF$129,[40]A07!$AF$130,[40]A07!$AF$131)</f>
        <v>8</v>
      </c>
      <c r="DQ11" s="279">
        <f>SUM([41]A07!$AE$136,[41]A07!$AF$136)-SUM([41]A07!$AE$120,[41]A07!$AE$121,[41]A07!$AE$129,[41]A07!$AE$130,[41]A07!$AE$131,[41]A07!$AF$120,[41]A07!$AF$121,[41]A07!$AF$122,[41]A07!$AF$129,[41]A07!$AF$130,[41]A07!$AF$131)</f>
        <v>8</v>
      </c>
      <c r="DR11" s="279">
        <f>SUM([42]A07!$AE$136,[42]A07!$AF$136)-SUM([42]A07!$AE$120,[42]A07!$AE$121,[42]A07!$AE$129,[42]A07!$AE$130,[42]A07!$AE$131,[42]A07!$AF$120,[42]A07!$AF$121,[42]A07!$AF$122,[42]A07!$AF$129,[42]A07!$AF$130,[42]A07!$AF$131)</f>
        <v>8</v>
      </c>
      <c r="DS11" s="279">
        <f>SUM([43]A07!$AE$136,[43]A07!$AF$136)-SUM([43]A07!$AE$120,[43]A07!$AE$121,[43]A07!$AE$129,[43]A07!$AE$130,[43]A07!$AE$131,[43]A07!$AF$120,[43]A07!$AF$121,[43]A07!$AF$122,[43]A07!$AF$129,[43]A07!$AF$130,[43]A07!$AF$131)</f>
        <v>8</v>
      </c>
      <c r="DT11" s="434"/>
      <c r="DU11" s="434"/>
      <c r="DV11" s="434"/>
      <c r="DW11" s="434"/>
      <c r="DX11" s="434"/>
      <c r="DY11" s="468">
        <f t="shared" si="7"/>
        <v>56</v>
      </c>
      <c r="DZ11" s="256"/>
      <c r="EA11" s="279"/>
      <c r="EB11" s="256"/>
      <c r="EC11" s="256"/>
    </row>
    <row r="12" spans="2:215" s="258" customFormat="1" thickBot="1" x14ac:dyDescent="0.25">
      <c r="B12" s="152">
        <v>107756</v>
      </c>
      <c r="C12" s="153" t="s">
        <v>101</v>
      </c>
      <c r="D12" s="264"/>
      <c r="E12" s="621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91</v>
      </c>
      <c r="F12" s="621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107</v>
      </c>
      <c r="G12" s="621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95</v>
      </c>
      <c r="H12" s="621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15</v>
      </c>
      <c r="I12" s="621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190</v>
      </c>
      <c r="J12" s="621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144</v>
      </c>
      <c r="K12" s="621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126</v>
      </c>
      <c r="L12" s="621"/>
      <c r="M12" s="621"/>
      <c r="N12" s="621"/>
      <c r="O12" s="621"/>
      <c r="P12" s="621"/>
      <c r="Q12" s="274">
        <f t="shared" si="8"/>
        <v>768</v>
      </c>
      <c r="R12" s="256"/>
      <c r="S12" s="621">
        <f>+[44]A04!$B$12</f>
        <v>445</v>
      </c>
      <c r="T12" s="621">
        <f>+[45]A04!$B$12</f>
        <v>304</v>
      </c>
      <c r="U12" s="621">
        <f>+[46]A04!$B$12</f>
        <v>404</v>
      </c>
      <c r="V12" s="621">
        <f>+[47]A04!$B$12</f>
        <v>557</v>
      </c>
      <c r="W12" s="621">
        <f>+[48]A04!$B$12</f>
        <v>490</v>
      </c>
      <c r="X12" s="621">
        <f>+[49]A04!$B$12</f>
        <v>397</v>
      </c>
      <c r="Y12" s="621">
        <f>+[50]A04!$B$12</f>
        <v>467</v>
      </c>
      <c r="Z12" s="621"/>
      <c r="AA12" s="621"/>
      <c r="AB12" s="621"/>
      <c r="AC12" s="621"/>
      <c r="AD12" s="621"/>
      <c r="AE12" s="274">
        <f t="shared" si="2"/>
        <v>3064</v>
      </c>
      <c r="AF12" s="256"/>
      <c r="AG12" s="621">
        <f>+[44]A06!$C$12</f>
        <v>58</v>
      </c>
      <c r="AH12" s="621">
        <f>+[45]A06!$C$12</f>
        <v>25</v>
      </c>
      <c r="AI12" s="621">
        <f>+[46]A06!$C$12</f>
        <v>39</v>
      </c>
      <c r="AJ12" s="621">
        <f>+[47]A06!$C$12</f>
        <v>78</v>
      </c>
      <c r="AK12" s="621">
        <f>+[48]A06!$C$12</f>
        <v>60</v>
      </c>
      <c r="AL12" s="621">
        <f>+[49]A06!$C$12</f>
        <v>27</v>
      </c>
      <c r="AM12" s="621">
        <f>+[50]A06!$C$12</f>
        <v>43</v>
      </c>
      <c r="AN12" s="621"/>
      <c r="AO12" s="621"/>
      <c r="AP12" s="621"/>
      <c r="AQ12" s="621"/>
      <c r="AR12" s="621"/>
      <c r="AS12" s="274">
        <f t="shared" si="3"/>
        <v>330</v>
      </c>
      <c r="AT12" s="256"/>
      <c r="AU12" s="274">
        <v>0</v>
      </c>
      <c r="AV12" s="274">
        <v>0</v>
      </c>
      <c r="AW12" s="274">
        <v>0</v>
      </c>
      <c r="AX12" s="274">
        <v>0</v>
      </c>
      <c r="AY12" s="274">
        <v>0</v>
      </c>
      <c r="AZ12" s="274">
        <v>0</v>
      </c>
      <c r="BA12" s="274">
        <v>0</v>
      </c>
      <c r="BB12" s="274">
        <v>0</v>
      </c>
      <c r="BC12" s="274">
        <v>0</v>
      </c>
      <c r="BD12" s="274">
        <v>0</v>
      </c>
      <c r="BE12" s="274">
        <v>0</v>
      </c>
      <c r="BF12" s="274">
        <v>0</v>
      </c>
      <c r="BG12" s="274">
        <v>0</v>
      </c>
      <c r="BH12" s="256"/>
      <c r="BI12" s="274">
        <v>0</v>
      </c>
      <c r="BJ12" s="274">
        <v>0</v>
      </c>
      <c r="BK12" s="274">
        <v>0</v>
      </c>
      <c r="BL12" s="274">
        <v>0</v>
      </c>
      <c r="BM12" s="274">
        <v>0</v>
      </c>
      <c r="BN12" s="274">
        <v>0</v>
      </c>
      <c r="BO12" s="274">
        <v>0</v>
      </c>
      <c r="BP12" s="274">
        <v>0</v>
      </c>
      <c r="BQ12" s="274">
        <v>0</v>
      </c>
      <c r="BR12" s="274">
        <v>0</v>
      </c>
      <c r="BS12" s="274">
        <v>0</v>
      </c>
      <c r="BT12" s="274">
        <v>0</v>
      </c>
      <c r="BU12" s="274">
        <v>0</v>
      </c>
      <c r="BV12" s="256"/>
      <c r="BW12" s="621">
        <f>+[44]A23!$B$58+[44]A23!$B$63</f>
        <v>3</v>
      </c>
      <c r="BX12" s="621">
        <f>+[45]A23!$B$58+[45]A23!$B$63</f>
        <v>13</v>
      </c>
      <c r="BY12" s="621">
        <f>+[46]A23!$B$58+[46]A23!$B$63</f>
        <v>12</v>
      </c>
      <c r="BZ12" s="621">
        <f>+[47]A23!$B$58+[47]A23!$B$63</f>
        <v>11</v>
      </c>
      <c r="CA12" s="621">
        <f>+[48]A23!$B$58+[48]A23!$B$63</f>
        <v>5</v>
      </c>
      <c r="CB12" s="621">
        <f>+[49]A23!$B$58+[49]A23!$B$63</f>
        <v>6</v>
      </c>
      <c r="CC12" s="621">
        <f>+[50]A23!$B$58+[50]A23!$B$63</f>
        <v>14</v>
      </c>
      <c r="CD12" s="621"/>
      <c r="CE12" s="621"/>
      <c r="CF12" s="621"/>
      <c r="CG12" s="621"/>
      <c r="CH12" s="621"/>
      <c r="CI12" s="274">
        <f t="shared" si="4"/>
        <v>64</v>
      </c>
      <c r="CJ12" s="256"/>
      <c r="CK12" s="611">
        <f>+[44]A32!$B$28+[44]A32!$C$134+[44]A32!$C$145</f>
        <v>0</v>
      </c>
      <c r="CL12" s="611">
        <f>+[45]A32!$B$28+[45]A32!$C$134+[45]A32!$C$145</f>
        <v>0</v>
      </c>
      <c r="CM12" s="611">
        <f>+[46]A32!$B$28+[46]A32!$C$134+[46]A32!$C$145</f>
        <v>0</v>
      </c>
      <c r="CN12" s="611">
        <f>+[47]A32!$B$28+[47]A32!$C$134+[47]A32!$C$145</f>
        <v>0</v>
      </c>
      <c r="CO12" s="611">
        <f>+[48]A32!$B$28+[48]A32!$C$134+[48]A32!$C$145</f>
        <v>0</v>
      </c>
      <c r="CP12" s="256">
        <v>0</v>
      </c>
      <c r="CQ12" s="256">
        <v>0</v>
      </c>
      <c r="CR12" s="256">
        <v>0</v>
      </c>
      <c r="CS12" s="256">
        <v>0</v>
      </c>
      <c r="CT12" s="256">
        <v>0</v>
      </c>
      <c r="CU12" s="256">
        <v>0</v>
      </c>
      <c r="CV12" s="256">
        <v>0</v>
      </c>
      <c r="CW12" s="262">
        <v>0</v>
      </c>
      <c r="CX12" s="256"/>
      <c r="CY12" s="261">
        <f t="shared" si="5"/>
        <v>597</v>
      </c>
      <c r="CZ12" s="261">
        <f t="shared" si="0"/>
        <v>449</v>
      </c>
      <c r="DA12" s="261">
        <f t="shared" si="0"/>
        <v>550</v>
      </c>
      <c r="DB12" s="261">
        <f t="shared" si="0"/>
        <v>661</v>
      </c>
      <c r="DC12" s="261">
        <f t="shared" si="0"/>
        <v>745</v>
      </c>
      <c r="DD12" s="261">
        <f t="shared" si="0"/>
        <v>574</v>
      </c>
      <c r="DE12" s="261">
        <f t="shared" si="0"/>
        <v>650</v>
      </c>
      <c r="DF12" s="261">
        <f t="shared" si="0"/>
        <v>0</v>
      </c>
      <c r="DG12" s="261">
        <f t="shared" si="0"/>
        <v>0</v>
      </c>
      <c r="DH12" s="261">
        <f t="shared" si="0"/>
        <v>0</v>
      </c>
      <c r="DI12" s="261">
        <f t="shared" si="0"/>
        <v>0</v>
      </c>
      <c r="DJ12" s="261">
        <f t="shared" si="0"/>
        <v>0</v>
      </c>
      <c r="DK12" s="468">
        <f t="shared" si="6"/>
        <v>4226</v>
      </c>
      <c r="DL12" s="256"/>
      <c r="DM12" s="279">
        <f>SUM([44]A07!$AE$136,[44]A07!$AF$136)-SUM([44]A07!$AE$120,[44]A07!$AE$121,[44]A07!$AE$129,[44]A07!$AE$130,[44]A07!$AE$131,[44]A07!$AF$120,[44]A07!$AF$121,[44]A07!$AF$122,[44]A07!$AF$129,[44]A07!$AF$130,[44]A07!$AF$131)</f>
        <v>104</v>
      </c>
      <c r="DN12" s="279">
        <f>SUM([45]A07!$AE$136,[45]A07!$AF$136)-SUM([45]A07!$AE$120,[45]A07!$AE$121,[45]A07!$AE$129,[45]A07!$AE$130,[45]A07!$AE$131,[45]A07!$AF$120,[45]A07!$AF$121,[45]A07!$AF$122,[45]A07!$AF$129,[45]A07!$AF$130,[45]A07!$AF$131)</f>
        <v>47</v>
      </c>
      <c r="DO12" s="279">
        <f>SUM([46]A07!$AE$136,[46]A07!$AF$136)-SUM([46]A07!$AE$120,[46]A07!$AE$121,[46]A07!$AE$129,[46]A07!$AE$130,[46]A07!$AE$131,[46]A07!$AF$120,[46]A07!$AF$121,[46]A07!$AF$122,[46]A07!$AF$129,[46]A07!$AF$130,[46]A07!$AF$131)</f>
        <v>58</v>
      </c>
      <c r="DP12" s="279">
        <f>SUM([47]A07!$AE$136,[47]A07!$AF$136)-SUM([47]A07!$AE$120,[47]A07!$AE$121,[47]A07!$AE$129,[47]A07!$AE$130,[47]A07!$AE$131,[47]A07!$AF$120,[47]A07!$AF$121,[47]A07!$AF$122,[47]A07!$AF$129,[47]A07!$AF$130,[47]A07!$AF$131)</f>
        <v>49</v>
      </c>
      <c r="DQ12" s="279">
        <f>SUM([48]A07!$AE$136,[48]A07!$AF$136)-SUM([48]A07!$AE$120,[48]A07!$AE$121,[48]A07!$AE$129,[48]A07!$AE$130,[48]A07!$AE$131,[48]A07!$AF$120,[48]A07!$AF$121,[48]A07!$AF$122,[48]A07!$AF$129,[48]A07!$AF$130,[48]A07!$AF$131)</f>
        <v>75</v>
      </c>
      <c r="DR12" s="279">
        <f>SUM([49]A07!$AE$136,[49]A07!$AF$136)-SUM([49]A07!$AE$120,[49]A07!$AE$121,[49]A07!$AE$129,[49]A07!$AE$130,[49]A07!$AE$131,[49]A07!$AF$120,[49]A07!$AF$121,[49]A07!$AF$122,[49]A07!$AF$129,[49]A07!$AF$130,[49]A07!$AF$131)</f>
        <v>61</v>
      </c>
      <c r="DS12" s="279">
        <f>SUM([50]A07!$AE$136,[50]A07!$AF$136)-SUM([50]A07!$AE$120,[50]A07!$AE$121,[50]A07!$AE$129,[50]A07!$AE$130,[50]A07!$AE$131,[50]A07!$AF$120,[50]A07!$AF$121,[50]A07!$AF$122,[50]A07!$AF$129,[50]A07!$AF$130,[50]A07!$AF$131)</f>
        <v>110</v>
      </c>
      <c r="DT12" s="434"/>
      <c r="DU12" s="434"/>
      <c r="DV12" s="434"/>
      <c r="DW12" s="434"/>
      <c r="DX12" s="434"/>
      <c r="DY12" s="468">
        <f t="shared" si="7"/>
        <v>504</v>
      </c>
      <c r="DZ12" s="256"/>
      <c r="EA12" s="279"/>
      <c r="EB12" s="256"/>
      <c r="EC12" s="256"/>
    </row>
    <row r="13" spans="2:215" s="258" customFormat="1" thickBot="1" x14ac:dyDescent="0.25">
      <c r="B13" s="266"/>
      <c r="C13" s="267" t="s">
        <v>202</v>
      </c>
      <c r="D13" s="268"/>
      <c r="E13" s="269">
        <v>18452</v>
      </c>
      <c r="F13" s="269">
        <f>SUM(F6:F12)</f>
        <v>1419</v>
      </c>
      <c r="G13" s="269">
        <f t="shared" ref="G13:P13" si="9">SUM(G6:G12)</f>
        <v>1959</v>
      </c>
      <c r="H13" s="269">
        <f t="shared" si="9"/>
        <v>2203</v>
      </c>
      <c r="I13" s="269">
        <f t="shared" si="9"/>
        <v>2823</v>
      </c>
      <c r="J13" s="269">
        <f t="shared" ref="J13" si="10">SUM(J6:J12)</f>
        <v>2336</v>
      </c>
      <c r="K13" s="269">
        <f t="shared" si="9"/>
        <v>2511</v>
      </c>
      <c r="L13" s="269">
        <f t="shared" si="9"/>
        <v>0</v>
      </c>
      <c r="M13" s="269">
        <f t="shared" si="9"/>
        <v>0</v>
      </c>
      <c r="N13" s="269">
        <f t="shared" si="9"/>
        <v>0</v>
      </c>
      <c r="O13" s="269">
        <f t="shared" si="9"/>
        <v>0</v>
      </c>
      <c r="P13" s="269">
        <f t="shared" si="9"/>
        <v>0</v>
      </c>
      <c r="Q13" s="280">
        <f>SUM(Q6:Q12)</f>
        <v>15413</v>
      </c>
      <c r="R13" s="256"/>
      <c r="S13" s="269">
        <f>SUM(S6:S12)</f>
        <v>6381</v>
      </c>
      <c r="T13" s="269">
        <f t="shared" ref="T13:AD13" si="11">SUM(T6:T12)</f>
        <v>8259</v>
      </c>
      <c r="U13" s="269">
        <f t="shared" si="11"/>
        <v>6226</v>
      </c>
      <c r="V13" s="269">
        <f t="shared" si="11"/>
        <v>7275</v>
      </c>
      <c r="W13" s="269">
        <f t="shared" si="11"/>
        <v>6531</v>
      </c>
      <c r="X13" s="269">
        <f t="shared" ref="X13" si="12">SUM(X6:X12)</f>
        <v>6792</v>
      </c>
      <c r="Y13" s="269">
        <f t="shared" si="11"/>
        <v>7683</v>
      </c>
      <c r="Z13" s="269">
        <f t="shared" si="11"/>
        <v>0</v>
      </c>
      <c r="AA13" s="269">
        <f t="shared" si="11"/>
        <v>0</v>
      </c>
      <c r="AB13" s="269">
        <f t="shared" si="11"/>
        <v>0</v>
      </c>
      <c r="AC13" s="269">
        <f t="shared" si="11"/>
        <v>0</v>
      </c>
      <c r="AD13" s="269">
        <f t="shared" si="11"/>
        <v>0</v>
      </c>
      <c r="AE13" s="280">
        <f>SUM(AE6:AE12)</f>
        <v>49147</v>
      </c>
      <c r="AF13" s="256"/>
      <c r="AG13" s="269">
        <f>SUM(AG6:AG12)</f>
        <v>626</v>
      </c>
      <c r="AH13" s="269">
        <f t="shared" ref="AH13:AR13" si="13">SUM(AH6:AH12)</f>
        <v>465</v>
      </c>
      <c r="AI13" s="269">
        <f t="shared" si="13"/>
        <v>661</v>
      </c>
      <c r="AJ13" s="269">
        <f t="shared" si="13"/>
        <v>750</v>
      </c>
      <c r="AK13" s="269">
        <f t="shared" si="13"/>
        <v>751</v>
      </c>
      <c r="AL13" s="269">
        <f t="shared" ref="AL13" si="14">SUM(AL6:AL12)</f>
        <v>806</v>
      </c>
      <c r="AM13" s="269">
        <f t="shared" si="13"/>
        <v>1024</v>
      </c>
      <c r="AN13" s="269">
        <f t="shared" si="13"/>
        <v>0</v>
      </c>
      <c r="AO13" s="269">
        <f t="shared" si="13"/>
        <v>0</v>
      </c>
      <c r="AP13" s="269">
        <f t="shared" si="13"/>
        <v>0</v>
      </c>
      <c r="AQ13" s="269">
        <f t="shared" si="13"/>
        <v>0</v>
      </c>
      <c r="AR13" s="269">
        <f t="shared" si="13"/>
        <v>0</v>
      </c>
      <c r="AS13" s="280">
        <f>SUM(AS6:AS12)</f>
        <v>5083</v>
      </c>
      <c r="AT13" s="256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80"/>
      <c r="BH13" s="256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80"/>
      <c r="BV13" s="256"/>
      <c r="BW13" s="269">
        <f>SUM(BW6:BW12)</f>
        <v>162</v>
      </c>
      <c r="BX13" s="269">
        <f t="shared" ref="BX13:CH13" si="15">SUM(BX6:BX12)</f>
        <v>188</v>
      </c>
      <c r="BY13" s="269">
        <f t="shared" si="15"/>
        <v>176</v>
      </c>
      <c r="BZ13" s="269">
        <f t="shared" si="15"/>
        <v>159</v>
      </c>
      <c r="CA13" s="269">
        <f t="shared" si="15"/>
        <v>218</v>
      </c>
      <c r="CB13" s="269">
        <f t="shared" ref="CB13" si="16">SUM(CB6:CB12)</f>
        <v>286</v>
      </c>
      <c r="CC13" s="269">
        <f t="shared" si="15"/>
        <v>331</v>
      </c>
      <c r="CD13" s="269">
        <f t="shared" si="15"/>
        <v>0</v>
      </c>
      <c r="CE13" s="269">
        <f t="shared" si="15"/>
        <v>0</v>
      </c>
      <c r="CF13" s="269">
        <f t="shared" si="15"/>
        <v>0</v>
      </c>
      <c r="CG13" s="269">
        <f t="shared" si="15"/>
        <v>0</v>
      </c>
      <c r="CH13" s="269">
        <f t="shared" si="15"/>
        <v>0</v>
      </c>
      <c r="CI13" s="280">
        <f>SUM(CI6:CI12)</f>
        <v>1520</v>
      </c>
      <c r="CJ13" s="281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80"/>
      <c r="CX13" s="256"/>
      <c r="CY13" s="469">
        <f>SUM(CY6:CY12)</f>
        <v>9331</v>
      </c>
      <c r="CZ13" s="269">
        <f t="shared" ref="CZ13:DJ13" si="17">SUM(CZ6:CZ12)</f>
        <v>10331</v>
      </c>
      <c r="DA13" s="269">
        <f t="shared" si="17"/>
        <v>9022</v>
      </c>
      <c r="DB13" s="269">
        <f t="shared" si="17"/>
        <v>10387</v>
      </c>
      <c r="DC13" s="269">
        <f t="shared" si="17"/>
        <v>10323</v>
      </c>
      <c r="DD13" s="269">
        <f t="shared" si="17"/>
        <v>10220</v>
      </c>
      <c r="DE13" s="269">
        <f t="shared" si="17"/>
        <v>11549</v>
      </c>
      <c r="DF13" s="269">
        <f t="shared" si="17"/>
        <v>0</v>
      </c>
      <c r="DG13" s="269">
        <f t="shared" si="17"/>
        <v>0</v>
      </c>
      <c r="DH13" s="269">
        <f t="shared" si="17"/>
        <v>0</v>
      </c>
      <c r="DI13" s="269">
        <f t="shared" si="17"/>
        <v>0</v>
      </c>
      <c r="DJ13" s="269">
        <f t="shared" si="17"/>
        <v>0</v>
      </c>
      <c r="DK13" s="469">
        <f>SUM(DK6:DK12)</f>
        <v>71163</v>
      </c>
      <c r="DL13" s="256"/>
      <c r="DM13" s="269">
        <f>SUM(DM6:DM12)</f>
        <v>933</v>
      </c>
      <c r="DN13" s="269">
        <f t="shared" ref="DN13:DX13" si="18">SUM(DN6:DN12)</f>
        <v>879</v>
      </c>
      <c r="DO13" s="269">
        <f t="shared" si="18"/>
        <v>947</v>
      </c>
      <c r="DP13" s="269">
        <f t="shared" si="18"/>
        <v>864</v>
      </c>
      <c r="DQ13" s="269">
        <f t="shared" si="18"/>
        <v>824</v>
      </c>
      <c r="DR13" s="269">
        <f t="shared" ref="DR13" si="19">SUM(DR6:DR12)</f>
        <v>1167</v>
      </c>
      <c r="DS13" s="269">
        <f t="shared" si="18"/>
        <v>1175</v>
      </c>
      <c r="DT13" s="269">
        <f t="shared" si="18"/>
        <v>0</v>
      </c>
      <c r="DU13" s="269">
        <f t="shared" si="18"/>
        <v>0</v>
      </c>
      <c r="DV13" s="269">
        <f t="shared" si="18"/>
        <v>0</v>
      </c>
      <c r="DW13" s="269">
        <f t="shared" si="18"/>
        <v>0</v>
      </c>
      <c r="DX13" s="269">
        <f t="shared" si="18"/>
        <v>0</v>
      </c>
      <c r="DY13" s="469">
        <f>SUM(DY6:DY12)</f>
        <v>6789</v>
      </c>
      <c r="DZ13" s="256"/>
      <c r="EA13" s="279"/>
      <c r="EB13" s="256"/>
      <c r="EC13" s="256"/>
    </row>
    <row r="14" spans="2:215" s="258" customFormat="1" ht="12" x14ac:dyDescent="0.2">
      <c r="C14" s="270"/>
      <c r="D14" s="270"/>
      <c r="E14" s="271"/>
      <c r="F14" s="271"/>
      <c r="G14" s="271"/>
      <c r="H14" s="271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71"/>
      <c r="T14" s="271"/>
      <c r="U14" s="271"/>
      <c r="V14" s="271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71"/>
      <c r="AH14" s="271"/>
      <c r="AI14" s="271"/>
      <c r="AJ14" s="271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71"/>
      <c r="AV14" s="271"/>
      <c r="AW14" s="271"/>
      <c r="AX14" s="271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71"/>
      <c r="BJ14" s="271"/>
      <c r="BK14" s="271"/>
      <c r="BL14" s="271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71"/>
      <c r="BX14" s="271"/>
      <c r="BY14" s="271"/>
      <c r="BZ14" s="271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71"/>
      <c r="CL14" s="271"/>
      <c r="CM14" s="271"/>
      <c r="CN14" s="271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71"/>
      <c r="CZ14" s="271"/>
      <c r="DA14" s="271"/>
      <c r="DB14" s="271"/>
      <c r="DC14" s="256"/>
      <c r="DD14" s="256"/>
      <c r="DE14" s="256"/>
      <c r="DG14" s="256"/>
      <c r="DH14" s="256"/>
      <c r="DI14" s="256"/>
      <c r="DJ14" s="256"/>
      <c r="DK14" s="470"/>
      <c r="DL14" s="256"/>
      <c r="DM14" s="271"/>
      <c r="DN14" s="271"/>
      <c r="DO14" s="271"/>
      <c r="DP14" s="271"/>
      <c r="DQ14" s="256"/>
      <c r="DR14" s="256"/>
      <c r="DS14" s="256"/>
      <c r="DT14" s="256"/>
      <c r="DU14" s="256"/>
      <c r="DV14" s="256"/>
      <c r="DW14" s="256"/>
      <c r="DX14" s="256"/>
      <c r="DY14" s="470"/>
      <c r="DZ14" s="256"/>
      <c r="EA14" s="256"/>
      <c r="EB14" s="256"/>
      <c r="EC14" s="256"/>
    </row>
    <row r="15" spans="2:215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470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470"/>
      <c r="DZ15" s="256"/>
      <c r="EA15" s="256"/>
      <c r="EB15" s="256"/>
      <c r="EC15" s="256"/>
    </row>
    <row r="16" spans="2:215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470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470"/>
      <c r="DZ16" s="256"/>
      <c r="EA16" s="256"/>
      <c r="EB16" s="256"/>
      <c r="EC16" s="256"/>
    </row>
    <row r="17" spans="5:133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470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470"/>
      <c r="DZ17" s="256"/>
      <c r="EA17" s="256"/>
      <c r="EB17" s="256"/>
      <c r="EC17" s="256"/>
    </row>
    <row r="18" spans="5:133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470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470"/>
      <c r="DZ18" s="256"/>
      <c r="EA18" s="256"/>
      <c r="EB18" s="256"/>
      <c r="EC18" s="256"/>
    </row>
    <row r="19" spans="5:133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470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470"/>
      <c r="DZ19" s="256"/>
      <c r="EA19" s="256"/>
      <c r="EB19" s="256"/>
      <c r="EC19" s="256"/>
    </row>
    <row r="20" spans="5:133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470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470"/>
      <c r="DZ20" s="256"/>
      <c r="EA20" s="256"/>
      <c r="EB20" s="256"/>
      <c r="EC20" s="256"/>
    </row>
    <row r="21" spans="5:133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470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470"/>
      <c r="DZ21" s="256"/>
      <c r="EA21" s="256"/>
      <c r="EB21" s="256"/>
      <c r="EC21" s="256"/>
    </row>
    <row r="22" spans="5:133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470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470"/>
      <c r="DZ22" s="256"/>
      <c r="EA22" s="256"/>
      <c r="EB22" s="256"/>
      <c r="EC22" s="256"/>
    </row>
    <row r="23" spans="5:133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470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470"/>
      <c r="DZ23" s="256"/>
      <c r="EA23" s="256"/>
      <c r="EB23" s="256"/>
      <c r="EC23" s="256"/>
    </row>
    <row r="24" spans="5:133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470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470"/>
      <c r="DZ24" s="256"/>
      <c r="EA24" s="256"/>
      <c r="EB24" s="256"/>
      <c r="EC24" s="256"/>
    </row>
    <row r="25" spans="5:133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470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470"/>
      <c r="DZ25" s="256"/>
      <c r="EA25" s="256"/>
      <c r="EB25" s="256"/>
      <c r="EC25" s="256"/>
    </row>
    <row r="26" spans="5:133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470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470"/>
      <c r="DZ26" s="256"/>
      <c r="EA26" s="256"/>
      <c r="EB26" s="256"/>
      <c r="EC26" s="256"/>
    </row>
    <row r="27" spans="5:133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470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470"/>
      <c r="DZ27" s="256"/>
      <c r="EA27" s="256"/>
      <c r="EB27" s="256"/>
      <c r="EC27" s="256"/>
    </row>
    <row r="28" spans="5:133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470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470"/>
      <c r="DZ28" s="256"/>
      <c r="EA28" s="256"/>
      <c r="EB28" s="256"/>
      <c r="EC28" s="256"/>
    </row>
    <row r="29" spans="5:133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470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470"/>
      <c r="DZ29" s="256"/>
      <c r="EA29" s="256"/>
      <c r="EB29" s="256"/>
      <c r="EC29" s="256"/>
    </row>
    <row r="30" spans="5:133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470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470"/>
      <c r="DZ30" s="256"/>
      <c r="EA30" s="256"/>
      <c r="EB30" s="256"/>
      <c r="EC30" s="256"/>
    </row>
    <row r="31" spans="5:133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470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470"/>
      <c r="DZ31" s="256"/>
      <c r="EA31" s="256"/>
      <c r="EB31" s="256"/>
      <c r="EC31" s="256"/>
    </row>
    <row r="32" spans="5:133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470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470"/>
      <c r="DZ32" s="256"/>
      <c r="EA32" s="256"/>
      <c r="EB32" s="256"/>
      <c r="EC32" s="256"/>
    </row>
    <row r="33" spans="5:133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470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470"/>
      <c r="DZ33" s="256"/>
      <c r="EA33" s="256"/>
      <c r="EB33" s="256"/>
      <c r="EC33" s="256"/>
    </row>
    <row r="34" spans="5:133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470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470"/>
      <c r="DZ34" s="256"/>
      <c r="EA34" s="256"/>
      <c r="EB34" s="256"/>
      <c r="EC34" s="256"/>
    </row>
    <row r="35" spans="5:133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470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470"/>
      <c r="DZ35" s="256"/>
      <c r="EA35" s="256"/>
      <c r="EB35" s="256"/>
      <c r="EC35" s="256"/>
    </row>
    <row r="36" spans="5:133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470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470"/>
      <c r="DZ36" s="256"/>
      <c r="EA36" s="256"/>
      <c r="EB36" s="256"/>
      <c r="EC36" s="256"/>
    </row>
    <row r="37" spans="5:133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470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470"/>
      <c r="DZ37" s="256"/>
      <c r="EA37" s="256"/>
      <c r="EB37" s="256"/>
      <c r="EC37" s="256"/>
    </row>
    <row r="38" spans="5:133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470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470"/>
      <c r="DZ38" s="256"/>
      <c r="EA38" s="256"/>
      <c r="EB38" s="256"/>
      <c r="EC38" s="256"/>
    </row>
    <row r="39" spans="5:133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470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470"/>
      <c r="DZ39" s="256"/>
      <c r="EA39" s="256"/>
      <c r="EB39" s="256"/>
      <c r="EC39" s="256"/>
    </row>
    <row r="40" spans="5:133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470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470"/>
      <c r="DZ40" s="256"/>
      <c r="EA40" s="256"/>
      <c r="EB40" s="256"/>
      <c r="EC40" s="256"/>
    </row>
    <row r="41" spans="5:133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470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470"/>
      <c r="DZ41" s="256"/>
      <c r="EA41" s="256"/>
      <c r="EB41" s="256"/>
      <c r="EC41" s="256"/>
    </row>
    <row r="42" spans="5:133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470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470"/>
      <c r="DZ42" s="256"/>
      <c r="EA42" s="256"/>
      <c r="EB42" s="256"/>
      <c r="EC42" s="256"/>
    </row>
    <row r="43" spans="5:133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470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470"/>
      <c r="DZ43" s="256"/>
      <c r="EA43" s="256"/>
      <c r="EB43" s="256"/>
      <c r="EC43" s="256"/>
    </row>
    <row r="44" spans="5:133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470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470"/>
      <c r="DZ44" s="256"/>
      <c r="EA44" s="256"/>
      <c r="EB44" s="256"/>
      <c r="EC44" s="256"/>
    </row>
    <row r="45" spans="5:133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470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470"/>
      <c r="DZ45" s="256"/>
      <c r="EA45" s="256"/>
      <c r="EB45" s="256"/>
      <c r="EC45" s="256"/>
    </row>
    <row r="46" spans="5:133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470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470"/>
      <c r="DZ46" s="256"/>
      <c r="EA46" s="256"/>
      <c r="EB46" s="256"/>
      <c r="EC46" s="256"/>
    </row>
    <row r="47" spans="5:133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470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470"/>
      <c r="DZ47" s="256"/>
      <c r="EA47" s="256"/>
      <c r="EB47" s="256"/>
      <c r="EC47" s="256"/>
    </row>
    <row r="48" spans="5:133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470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470"/>
      <c r="DZ48" s="256"/>
      <c r="EA48" s="256"/>
      <c r="EB48" s="256"/>
      <c r="EC48" s="256"/>
    </row>
    <row r="49" spans="5:133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470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470"/>
      <c r="DZ49" s="256"/>
      <c r="EA49" s="256"/>
      <c r="EB49" s="256"/>
      <c r="EC49" s="256"/>
    </row>
    <row r="50" spans="5:133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470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470"/>
      <c r="DZ50" s="256"/>
      <c r="EA50" s="256"/>
      <c r="EB50" s="256"/>
      <c r="EC50" s="256"/>
    </row>
    <row r="51" spans="5:133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470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470"/>
      <c r="DZ51" s="256"/>
      <c r="EA51" s="256"/>
      <c r="EB51" s="256"/>
      <c r="EC51" s="256"/>
    </row>
    <row r="52" spans="5:133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470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470"/>
      <c r="DZ52" s="256"/>
      <c r="EA52" s="256"/>
      <c r="EB52" s="256"/>
      <c r="EC52" s="256"/>
    </row>
    <row r="53" spans="5:133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470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470"/>
      <c r="DZ53" s="256"/>
      <c r="EA53" s="256"/>
      <c r="EB53" s="256"/>
      <c r="EC53" s="256"/>
    </row>
    <row r="54" spans="5:133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470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470"/>
      <c r="DZ54" s="256"/>
      <c r="EA54" s="256"/>
      <c r="EB54" s="256"/>
      <c r="EC54" s="256"/>
    </row>
    <row r="55" spans="5:133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470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470"/>
      <c r="DZ55" s="256"/>
      <c r="EA55" s="256"/>
      <c r="EB55" s="256"/>
      <c r="EC55" s="256"/>
    </row>
    <row r="56" spans="5:133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470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470"/>
      <c r="DZ56" s="256"/>
      <c r="EA56" s="256"/>
      <c r="EB56" s="256"/>
      <c r="EC56" s="256"/>
    </row>
    <row r="57" spans="5:133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470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  <c r="DV57" s="256"/>
      <c r="DW57" s="256"/>
      <c r="DX57" s="256"/>
      <c r="DY57" s="470"/>
      <c r="DZ57" s="256"/>
      <c r="EA57" s="256"/>
      <c r="EB57" s="256"/>
      <c r="EC57" s="256"/>
    </row>
    <row r="58" spans="5:133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470"/>
      <c r="DL58" s="256"/>
      <c r="DM58" s="256"/>
      <c r="DN58" s="256"/>
      <c r="DO58" s="256"/>
      <c r="DP58" s="256"/>
      <c r="DQ58" s="256"/>
      <c r="DR58" s="256"/>
      <c r="DS58" s="256"/>
      <c r="DT58" s="256"/>
      <c r="DU58" s="256"/>
      <c r="DV58" s="256"/>
      <c r="DW58" s="256"/>
      <c r="DX58" s="256"/>
      <c r="DY58" s="470"/>
      <c r="DZ58" s="256"/>
      <c r="EA58" s="256"/>
      <c r="EB58" s="256"/>
      <c r="EC58" s="256"/>
    </row>
    <row r="59" spans="5:133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470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470"/>
      <c r="DZ59" s="256"/>
      <c r="EA59" s="256"/>
      <c r="EB59" s="256"/>
      <c r="EC59" s="256"/>
    </row>
    <row r="60" spans="5:133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470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470"/>
      <c r="DZ60" s="256"/>
      <c r="EA60" s="256"/>
      <c r="EB60" s="256"/>
      <c r="EC60" s="256"/>
    </row>
    <row r="61" spans="5:133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470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470"/>
      <c r="DZ61" s="256"/>
      <c r="EA61" s="256"/>
      <c r="EB61" s="256"/>
      <c r="EC61" s="256"/>
    </row>
    <row r="62" spans="5:133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470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470"/>
      <c r="DZ62" s="256"/>
      <c r="EA62" s="256"/>
      <c r="EB62" s="256"/>
      <c r="EC62" s="256"/>
    </row>
    <row r="63" spans="5:133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470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470"/>
      <c r="DZ63" s="256"/>
      <c r="EA63" s="256"/>
      <c r="EB63" s="256"/>
      <c r="EC63" s="256"/>
    </row>
    <row r="64" spans="5:133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470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470"/>
      <c r="DZ64" s="256"/>
      <c r="EA64" s="256"/>
      <c r="EB64" s="256"/>
      <c r="EC64" s="256"/>
    </row>
    <row r="65" spans="2:216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470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470"/>
      <c r="DZ65" s="256"/>
      <c r="EA65" s="256"/>
      <c r="EB65" s="256"/>
      <c r="EC65" s="256"/>
    </row>
    <row r="66" spans="2:216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470"/>
      <c r="DL66" s="256"/>
      <c r="DM66" s="256"/>
      <c r="DN66" s="256"/>
      <c r="DO66" s="256"/>
      <c r="DP66" s="256"/>
      <c r="DQ66" s="256"/>
      <c r="DR66" s="256"/>
      <c r="DS66" s="256"/>
      <c r="DT66" s="256"/>
      <c r="DU66" s="256"/>
      <c r="DV66" s="256"/>
      <c r="DW66" s="256"/>
      <c r="DX66" s="256"/>
      <c r="DY66" s="470"/>
      <c r="DZ66" s="256"/>
      <c r="EA66" s="256"/>
      <c r="EB66" s="256"/>
      <c r="EC66" s="256"/>
    </row>
    <row r="67" spans="2:216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A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470"/>
      <c r="DL67" s="256"/>
      <c r="DM67" s="256"/>
      <c r="DN67" s="256"/>
      <c r="DO67" s="256"/>
      <c r="DP67" s="256"/>
      <c r="DQ67" s="256"/>
      <c r="DR67" s="256"/>
      <c r="DS67" s="256"/>
      <c r="DT67" s="256"/>
      <c r="DU67" s="256"/>
      <c r="DV67" s="256"/>
      <c r="DW67" s="256"/>
      <c r="DX67" s="256"/>
      <c r="DY67" s="470"/>
      <c r="DZ67" s="256"/>
      <c r="EA67" s="256"/>
      <c r="EB67" s="256"/>
      <c r="EC67" s="256"/>
    </row>
    <row r="68" spans="2:216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470"/>
      <c r="DL68" s="256"/>
      <c r="DM68" s="256"/>
      <c r="DN68" s="256"/>
      <c r="DO68" s="256"/>
      <c r="DP68" s="256"/>
      <c r="DQ68" s="256"/>
      <c r="DR68" s="256"/>
      <c r="DS68" s="256"/>
      <c r="DT68" s="256"/>
      <c r="DU68" s="256"/>
      <c r="DV68" s="256"/>
      <c r="DW68" s="256"/>
      <c r="DX68" s="256"/>
      <c r="DY68" s="470"/>
      <c r="DZ68" s="256"/>
      <c r="EA68" s="256"/>
      <c r="EB68" s="256"/>
      <c r="EC68" s="256"/>
    </row>
    <row r="69" spans="2:216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470"/>
      <c r="DL69" s="256"/>
      <c r="DM69" s="256"/>
      <c r="DN69" s="256"/>
      <c r="DO69" s="256"/>
      <c r="DP69" s="256"/>
      <c r="DQ69" s="256"/>
      <c r="DR69" s="256"/>
      <c r="DS69" s="256"/>
      <c r="DT69" s="256"/>
      <c r="DU69" s="256"/>
      <c r="DV69" s="256"/>
      <c r="DW69" s="256"/>
      <c r="DX69" s="256"/>
      <c r="DY69" s="470"/>
      <c r="DZ69" s="256"/>
      <c r="EA69" s="256"/>
      <c r="EB69" s="256"/>
      <c r="EC69" s="256"/>
    </row>
    <row r="70" spans="2:216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470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  <c r="DY70" s="470"/>
      <c r="DZ70" s="256"/>
      <c r="EA70" s="256"/>
      <c r="EB70" s="256"/>
      <c r="EC70" s="256"/>
    </row>
    <row r="71" spans="2:216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470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470"/>
      <c r="DZ71" s="256"/>
      <c r="EA71" s="256"/>
      <c r="EB71" s="256"/>
      <c r="EC71" s="256"/>
    </row>
    <row r="72" spans="2:216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A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470"/>
      <c r="DL72" s="256"/>
      <c r="DM72" s="256"/>
      <c r="DN72" s="256"/>
      <c r="DO72" s="256"/>
      <c r="DP72" s="256"/>
      <c r="DQ72" s="256"/>
      <c r="DR72" s="256"/>
      <c r="DS72" s="256"/>
      <c r="DT72" s="256"/>
      <c r="DU72" s="256"/>
      <c r="DV72" s="256"/>
      <c r="DW72" s="256"/>
      <c r="DX72" s="256"/>
      <c r="DY72" s="470"/>
      <c r="DZ72" s="256"/>
      <c r="EA72" s="256"/>
      <c r="EB72" s="256"/>
      <c r="EC72" s="256"/>
    </row>
    <row r="73" spans="2:216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A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470"/>
      <c r="DL73" s="256"/>
      <c r="DM73" s="256"/>
      <c r="DN73" s="256"/>
      <c r="DO73" s="256"/>
      <c r="DP73" s="256"/>
      <c r="DQ73" s="256"/>
      <c r="DR73" s="256"/>
      <c r="DS73" s="256"/>
      <c r="DT73" s="256"/>
      <c r="DU73" s="256"/>
      <c r="DV73" s="256"/>
      <c r="DW73" s="256"/>
      <c r="DX73" s="256"/>
      <c r="DY73" s="470"/>
      <c r="DZ73" s="256"/>
      <c r="EA73" s="256"/>
      <c r="EB73" s="256"/>
      <c r="EC73" s="256"/>
    </row>
    <row r="74" spans="2:216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A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470"/>
      <c r="DL74" s="256"/>
      <c r="DM74" s="256"/>
      <c r="DN74" s="256"/>
      <c r="DO74" s="256"/>
      <c r="DP74" s="256"/>
      <c r="DQ74" s="256"/>
      <c r="DR74" s="256"/>
      <c r="DS74" s="256"/>
      <c r="DT74" s="256"/>
      <c r="DU74" s="256"/>
      <c r="DV74" s="256"/>
      <c r="DW74" s="256"/>
      <c r="DX74" s="256"/>
      <c r="DY74" s="470"/>
      <c r="DZ74" s="256"/>
      <c r="EA74" s="256"/>
      <c r="EB74" s="256"/>
      <c r="EC74" s="256"/>
    </row>
    <row r="75" spans="2:216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A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470"/>
      <c r="DL75" s="256"/>
      <c r="DM75" s="256"/>
      <c r="DN75" s="256"/>
      <c r="DO75" s="256"/>
      <c r="DP75" s="256"/>
      <c r="DQ75" s="256"/>
      <c r="DR75" s="256"/>
      <c r="DS75" s="256"/>
      <c r="DT75" s="256"/>
      <c r="DU75" s="256"/>
      <c r="DV75" s="256"/>
      <c r="DW75" s="256"/>
      <c r="DX75" s="256"/>
      <c r="DY75" s="470"/>
      <c r="DZ75" s="256"/>
      <c r="EA75" s="256"/>
      <c r="EB75" s="256"/>
      <c r="EC75" s="256"/>
    </row>
    <row r="76" spans="2:216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A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470"/>
      <c r="DL76" s="256"/>
      <c r="DM76" s="256"/>
      <c r="DN76" s="256"/>
      <c r="DO76" s="256"/>
      <c r="DP76" s="256"/>
      <c r="DQ76" s="256"/>
      <c r="DR76" s="256"/>
      <c r="DS76" s="256"/>
      <c r="DT76" s="256"/>
      <c r="DU76" s="256"/>
      <c r="DV76" s="256"/>
      <c r="DW76" s="256"/>
      <c r="DX76" s="256"/>
      <c r="DY76" s="470"/>
      <c r="DZ76" s="256"/>
      <c r="EA76" s="256"/>
      <c r="EB76" s="256"/>
      <c r="EC76" s="256"/>
    </row>
    <row r="77" spans="2:216" s="275" customFormat="1" ht="12" x14ac:dyDescent="0.2">
      <c r="B77" s="255"/>
      <c r="C77" s="255"/>
      <c r="D77" s="255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470"/>
      <c r="DL77" s="256"/>
      <c r="DM77" s="256"/>
      <c r="DN77" s="256"/>
      <c r="DO77" s="256"/>
      <c r="DP77" s="256"/>
      <c r="DQ77" s="256"/>
      <c r="DR77" s="256"/>
      <c r="DS77" s="256"/>
      <c r="DT77" s="256"/>
      <c r="DU77" s="256"/>
      <c r="DV77" s="256"/>
      <c r="DW77" s="256"/>
      <c r="DX77" s="256"/>
      <c r="DY77" s="470"/>
      <c r="DZ77" s="256"/>
      <c r="EA77" s="256"/>
      <c r="EB77" s="256"/>
      <c r="EC77" s="256"/>
      <c r="HG77" s="255"/>
      <c r="HH77" s="255"/>
    </row>
    <row r="78" spans="2:216" s="275" customFormat="1" ht="12" x14ac:dyDescent="0.2">
      <c r="B78" s="255"/>
      <c r="C78" s="255"/>
      <c r="D78" s="255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470"/>
      <c r="DL78" s="256"/>
      <c r="DM78" s="256"/>
      <c r="DN78" s="256"/>
      <c r="DO78" s="256"/>
      <c r="DP78" s="256"/>
      <c r="DQ78" s="256"/>
      <c r="DR78" s="256"/>
      <c r="DS78" s="256"/>
      <c r="DT78" s="256"/>
      <c r="DU78" s="256"/>
      <c r="DV78" s="256"/>
      <c r="DW78" s="256"/>
      <c r="DX78" s="256"/>
      <c r="DY78" s="470"/>
      <c r="DZ78" s="256"/>
      <c r="EA78" s="256"/>
      <c r="EB78" s="256"/>
      <c r="EC78" s="256"/>
      <c r="HG78" s="255"/>
      <c r="HH78" s="255"/>
    </row>
    <row r="79" spans="2:216" s="275" customFormat="1" ht="12" x14ac:dyDescent="0.2">
      <c r="B79" s="255"/>
      <c r="C79" s="255"/>
      <c r="D79" s="255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A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470"/>
      <c r="DL79" s="256"/>
      <c r="DM79" s="256"/>
      <c r="DN79" s="256"/>
      <c r="DO79" s="256"/>
      <c r="DP79" s="256"/>
      <c r="DQ79" s="256"/>
      <c r="DR79" s="256"/>
      <c r="DS79" s="256"/>
      <c r="DT79" s="256"/>
      <c r="DU79" s="256"/>
      <c r="DV79" s="256"/>
      <c r="DW79" s="256"/>
      <c r="DX79" s="256"/>
      <c r="DY79" s="470"/>
      <c r="DZ79" s="256"/>
      <c r="EA79" s="256"/>
      <c r="EB79" s="256"/>
      <c r="EC79" s="256"/>
      <c r="HG79" s="255"/>
      <c r="HH79" s="255"/>
    </row>
    <row r="80" spans="2:216" s="275" customFormat="1" ht="12" x14ac:dyDescent="0.2">
      <c r="B80" s="255"/>
      <c r="C80" s="255"/>
      <c r="D80" s="255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470"/>
      <c r="DL80" s="256"/>
      <c r="DM80" s="256"/>
      <c r="DN80" s="256"/>
      <c r="DO80" s="256"/>
      <c r="DP80" s="256"/>
      <c r="DQ80" s="256"/>
      <c r="DR80" s="256"/>
      <c r="DS80" s="256"/>
      <c r="DT80" s="256"/>
      <c r="DU80" s="256"/>
      <c r="DV80" s="256"/>
      <c r="DW80" s="256"/>
      <c r="DX80" s="256"/>
      <c r="DY80" s="470"/>
      <c r="DZ80" s="256"/>
      <c r="EA80" s="256"/>
      <c r="EB80" s="256"/>
      <c r="EC80" s="256"/>
      <c r="HG80" s="255"/>
      <c r="HH80" s="255"/>
    </row>
    <row r="81" spans="2:216" s="275" customFormat="1" ht="12" x14ac:dyDescent="0.2">
      <c r="B81" s="255"/>
      <c r="C81" s="255"/>
      <c r="D81" s="255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470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470"/>
      <c r="DZ81" s="256"/>
      <c r="EA81" s="256"/>
      <c r="EB81" s="256"/>
      <c r="EC81" s="256"/>
      <c r="HG81" s="255"/>
      <c r="HH81" s="255"/>
    </row>
    <row r="82" spans="2:216" x14ac:dyDescent="0.2"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  <c r="AY82" s="275"/>
      <c r="AZ82" s="275"/>
      <c r="BA82" s="275"/>
      <c r="BB82" s="275"/>
      <c r="BC82" s="275"/>
      <c r="BD82" s="275"/>
      <c r="BE82" s="275"/>
      <c r="BF82" s="275"/>
      <c r="BG82" s="275"/>
      <c r="BH82" s="275"/>
      <c r="BI82" s="275"/>
      <c r="BJ82" s="275"/>
      <c r="BK82" s="275"/>
      <c r="BL82" s="275"/>
      <c r="BM82" s="275"/>
      <c r="BN82" s="275"/>
      <c r="BO82" s="275"/>
      <c r="BP82" s="275"/>
      <c r="BQ82" s="275"/>
      <c r="BR82" s="275"/>
      <c r="BS82" s="275"/>
      <c r="BT82" s="275"/>
      <c r="BU82" s="275"/>
      <c r="BV82" s="275"/>
      <c r="BW82" s="275"/>
      <c r="BX82" s="275"/>
      <c r="BY82" s="275"/>
      <c r="BZ82" s="275"/>
      <c r="CA82" s="275"/>
      <c r="CB82" s="275"/>
      <c r="CC82" s="275"/>
      <c r="CD82" s="275"/>
      <c r="CE82" s="275"/>
      <c r="CF82" s="275"/>
      <c r="CG82" s="275"/>
      <c r="CH82" s="275"/>
      <c r="CI82" s="275"/>
      <c r="CJ82" s="275"/>
      <c r="CK82" s="275"/>
      <c r="CL82" s="275"/>
      <c r="CM82" s="275"/>
      <c r="CN82" s="275"/>
      <c r="CO82" s="275"/>
      <c r="CP82" s="275"/>
      <c r="CQ82" s="275"/>
      <c r="CR82" s="275"/>
      <c r="CS82" s="275"/>
      <c r="CT82" s="275"/>
      <c r="CU82" s="275"/>
      <c r="CV82" s="275"/>
      <c r="CW82" s="275"/>
      <c r="CX82" s="27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471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471"/>
      <c r="DZ82" s="255"/>
      <c r="HG82" s="275"/>
      <c r="HH82" s="275"/>
    </row>
    <row r="83" spans="2:216" x14ac:dyDescent="0.2"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  <c r="AY83" s="275"/>
      <c r="AZ83" s="275"/>
      <c r="BA83" s="275"/>
      <c r="BB83" s="275"/>
      <c r="BC83" s="275"/>
      <c r="BD83" s="275"/>
      <c r="BE83" s="275"/>
      <c r="BF83" s="275"/>
      <c r="BG83" s="275"/>
      <c r="BH83" s="275"/>
      <c r="BI83" s="275"/>
      <c r="BJ83" s="275"/>
      <c r="BK83" s="275"/>
      <c r="BL83" s="275"/>
      <c r="BM83" s="275"/>
      <c r="BN83" s="275"/>
      <c r="BO83" s="275"/>
      <c r="BP83" s="275"/>
      <c r="BQ83" s="275"/>
      <c r="BR83" s="275"/>
      <c r="BS83" s="275"/>
      <c r="BT83" s="275"/>
      <c r="BU83" s="275"/>
      <c r="BV83" s="275"/>
      <c r="BW83" s="275"/>
      <c r="BX83" s="275"/>
      <c r="BY83" s="275"/>
      <c r="BZ83" s="275"/>
      <c r="CA83" s="275"/>
      <c r="CB83" s="275"/>
      <c r="CC83" s="275"/>
      <c r="CD83" s="275"/>
      <c r="CE83" s="275"/>
      <c r="CF83" s="275"/>
      <c r="CG83" s="275"/>
      <c r="CH83" s="275"/>
      <c r="CI83" s="275"/>
      <c r="CJ83" s="275"/>
      <c r="CK83" s="275"/>
      <c r="CL83" s="275"/>
      <c r="CM83" s="275"/>
      <c r="CN83" s="275"/>
      <c r="CO83" s="275"/>
      <c r="CP83" s="275"/>
      <c r="CQ83" s="275"/>
      <c r="CR83" s="275"/>
      <c r="CS83" s="275"/>
      <c r="CT83" s="275"/>
      <c r="CU83" s="275"/>
      <c r="CV83" s="275"/>
      <c r="CW83" s="275"/>
      <c r="CX83" s="275"/>
      <c r="CY83" s="275"/>
      <c r="CZ83" s="275"/>
      <c r="DA83" s="275"/>
      <c r="DB83" s="275"/>
      <c r="DC83" s="275"/>
      <c r="DD83" s="275"/>
      <c r="DE83" s="275"/>
      <c r="DF83" s="275"/>
      <c r="DG83" s="275"/>
      <c r="DH83" s="275"/>
      <c r="DI83" s="275"/>
      <c r="DJ83" s="275"/>
      <c r="DK83" s="472"/>
      <c r="DL83" s="275"/>
      <c r="DM83" s="275"/>
      <c r="DN83" s="275"/>
      <c r="DO83" s="275"/>
      <c r="DP83" s="275"/>
      <c r="DQ83" s="275"/>
      <c r="DR83" s="275"/>
      <c r="DS83" s="275"/>
      <c r="DT83" s="275"/>
      <c r="DU83" s="275"/>
      <c r="DV83" s="275"/>
      <c r="DW83" s="275"/>
      <c r="DX83" s="275"/>
      <c r="DY83" s="472"/>
      <c r="DZ83" s="275"/>
      <c r="HG83" s="275"/>
      <c r="HH83" s="275"/>
    </row>
    <row r="84" spans="2:216" x14ac:dyDescent="0.2"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  <c r="AY84" s="275"/>
      <c r="AZ84" s="275"/>
      <c r="BA84" s="275"/>
      <c r="BB84" s="275"/>
      <c r="BC84" s="275"/>
      <c r="BD84" s="275"/>
      <c r="BE84" s="275"/>
      <c r="BF84" s="275"/>
      <c r="BG84" s="275"/>
      <c r="BH84" s="275"/>
      <c r="BI84" s="275"/>
      <c r="BJ84" s="275"/>
      <c r="BK84" s="275"/>
      <c r="BL84" s="275"/>
      <c r="BM84" s="275"/>
      <c r="BN84" s="275"/>
      <c r="BO84" s="275"/>
      <c r="BP84" s="275"/>
      <c r="BQ84" s="275"/>
      <c r="BR84" s="275"/>
      <c r="BS84" s="275"/>
      <c r="BT84" s="275"/>
      <c r="BU84" s="275"/>
      <c r="BV84" s="275"/>
      <c r="BW84" s="275"/>
      <c r="BX84" s="275"/>
      <c r="BY84" s="275"/>
      <c r="BZ84" s="275"/>
      <c r="CA84" s="275"/>
      <c r="CB84" s="275"/>
      <c r="CC84" s="275"/>
      <c r="CD84" s="275"/>
      <c r="CE84" s="275"/>
      <c r="CF84" s="275"/>
      <c r="CG84" s="275"/>
      <c r="CH84" s="275"/>
      <c r="CI84" s="275"/>
      <c r="CJ84" s="275"/>
      <c r="CK84" s="275"/>
      <c r="CL84" s="275"/>
      <c r="CM84" s="275"/>
      <c r="CN84" s="275"/>
      <c r="CO84" s="275"/>
      <c r="CP84" s="275"/>
      <c r="CQ84" s="275"/>
      <c r="CR84" s="275"/>
      <c r="CS84" s="275"/>
      <c r="CT84" s="275"/>
      <c r="CU84" s="275"/>
      <c r="CV84" s="275"/>
      <c r="CW84" s="275"/>
      <c r="CX84" s="275"/>
      <c r="CY84" s="275"/>
      <c r="CZ84" s="275"/>
      <c r="DA84" s="275"/>
      <c r="DB84" s="275"/>
      <c r="DC84" s="275"/>
      <c r="DD84" s="275"/>
      <c r="DE84" s="275"/>
      <c r="DF84" s="275"/>
      <c r="DG84" s="275"/>
      <c r="DH84" s="275"/>
      <c r="DI84" s="275"/>
      <c r="DJ84" s="275"/>
      <c r="DK84" s="472"/>
      <c r="DL84" s="275"/>
      <c r="DM84" s="275"/>
      <c r="DN84" s="275"/>
      <c r="DO84" s="275"/>
      <c r="DP84" s="275"/>
      <c r="DQ84" s="275"/>
      <c r="DR84" s="275"/>
      <c r="DS84" s="275"/>
      <c r="DT84" s="275"/>
      <c r="DU84" s="275"/>
      <c r="DV84" s="275"/>
      <c r="DW84" s="275"/>
      <c r="DX84" s="275"/>
      <c r="DY84" s="472"/>
      <c r="DZ84" s="275"/>
      <c r="HG84" s="275"/>
      <c r="HH84" s="275"/>
    </row>
    <row r="85" spans="2:216" x14ac:dyDescent="0.2"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  <c r="AY85" s="275"/>
      <c r="AZ85" s="275"/>
      <c r="BA85" s="275"/>
      <c r="BB85" s="275"/>
      <c r="BC85" s="275"/>
      <c r="BD85" s="275"/>
      <c r="BE85" s="275"/>
      <c r="BF85" s="275"/>
      <c r="BG85" s="275"/>
      <c r="BH85" s="275"/>
      <c r="BI85" s="275"/>
      <c r="BJ85" s="275"/>
      <c r="BK85" s="275"/>
      <c r="BL85" s="275"/>
      <c r="BM85" s="275"/>
      <c r="BN85" s="275"/>
      <c r="BO85" s="275"/>
      <c r="BP85" s="275"/>
      <c r="BQ85" s="275"/>
      <c r="BR85" s="275"/>
      <c r="BS85" s="275"/>
      <c r="BT85" s="275"/>
      <c r="BU85" s="275"/>
      <c r="BV85" s="275"/>
      <c r="BW85" s="275"/>
      <c r="BX85" s="275"/>
      <c r="BY85" s="275"/>
      <c r="BZ85" s="275"/>
      <c r="CA85" s="275"/>
      <c r="CB85" s="275"/>
      <c r="CC85" s="275"/>
      <c r="CD85" s="275"/>
      <c r="CE85" s="275"/>
      <c r="CF85" s="275"/>
      <c r="CG85" s="275"/>
      <c r="CH85" s="275"/>
      <c r="CI85" s="275"/>
      <c r="CJ85" s="275"/>
      <c r="CK85" s="275"/>
      <c r="CL85" s="275"/>
      <c r="CM85" s="275"/>
      <c r="CN85" s="275"/>
      <c r="CO85" s="275"/>
      <c r="CP85" s="275"/>
      <c r="CQ85" s="275"/>
      <c r="CR85" s="275"/>
      <c r="CS85" s="275"/>
      <c r="CT85" s="275"/>
      <c r="CU85" s="275"/>
      <c r="CV85" s="275"/>
      <c r="CW85" s="275"/>
      <c r="CX85" s="275"/>
      <c r="CY85" s="275"/>
      <c r="CZ85" s="275"/>
      <c r="DA85" s="275"/>
      <c r="DB85" s="275"/>
      <c r="DC85" s="275"/>
      <c r="DD85" s="275"/>
      <c r="DE85" s="275"/>
      <c r="DF85" s="275"/>
      <c r="DG85" s="275"/>
      <c r="DH85" s="275"/>
      <c r="DI85" s="275"/>
      <c r="DJ85" s="275"/>
      <c r="DK85" s="472"/>
      <c r="DL85" s="275"/>
      <c r="DM85" s="275"/>
      <c r="DN85" s="275"/>
      <c r="DO85" s="275"/>
      <c r="DP85" s="275"/>
      <c r="DQ85" s="275"/>
      <c r="DR85" s="275"/>
      <c r="DS85" s="275"/>
      <c r="DT85" s="275"/>
      <c r="DU85" s="275"/>
      <c r="DV85" s="275"/>
      <c r="DW85" s="275"/>
      <c r="DX85" s="275"/>
      <c r="DY85" s="472"/>
      <c r="DZ85" s="275"/>
      <c r="HG85" s="275"/>
      <c r="HH85" s="275"/>
    </row>
    <row r="86" spans="2:216" x14ac:dyDescent="0.2"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5"/>
      <c r="BB86" s="275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275"/>
      <c r="BS86" s="275"/>
      <c r="BT86" s="275"/>
      <c r="BU86" s="275"/>
      <c r="BV86" s="275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275"/>
      <c r="CN86" s="275"/>
      <c r="CO86" s="275"/>
      <c r="CP86" s="275"/>
      <c r="CQ86" s="275"/>
      <c r="CR86" s="275"/>
      <c r="CS86" s="275"/>
      <c r="CT86" s="275"/>
      <c r="CU86" s="275"/>
      <c r="CV86" s="275"/>
      <c r="CW86" s="275"/>
      <c r="CX86" s="275"/>
      <c r="CY86" s="275"/>
      <c r="CZ86" s="275"/>
      <c r="DA86" s="275"/>
      <c r="DB86" s="275"/>
      <c r="DC86" s="275"/>
      <c r="DD86" s="275"/>
      <c r="DE86" s="275"/>
      <c r="DF86" s="275"/>
      <c r="DG86" s="275"/>
      <c r="DH86" s="275"/>
      <c r="DI86" s="275"/>
      <c r="DJ86" s="275"/>
      <c r="DK86" s="472"/>
      <c r="DL86" s="275"/>
      <c r="DM86" s="275"/>
      <c r="DN86" s="275"/>
      <c r="DO86" s="275"/>
      <c r="DP86" s="275"/>
      <c r="DQ86" s="275"/>
      <c r="DR86" s="275"/>
      <c r="DS86" s="275"/>
      <c r="DT86" s="275"/>
      <c r="DU86" s="275"/>
      <c r="DV86" s="275"/>
      <c r="DW86" s="275"/>
      <c r="DX86" s="275"/>
      <c r="DY86" s="472"/>
      <c r="DZ86" s="275"/>
      <c r="HG86" s="275"/>
      <c r="HH86" s="275"/>
    </row>
    <row r="87" spans="2:216" x14ac:dyDescent="0.2"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472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472"/>
      <c r="DZ87" s="275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BB8" sqref="BB8"/>
    </sheetView>
  </sheetViews>
  <sheetFormatPr baseColWidth="10" defaultColWidth="4" defaultRowHeight="12.75" x14ac:dyDescent="0.2"/>
  <cols>
    <col min="1" max="1" width="2.42578125" style="248" customWidth="1"/>
    <col min="2" max="2" width="7.140625" style="248" customWidth="1"/>
    <col min="3" max="3" width="33.140625" style="248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9" bestFit="1" customWidth="1"/>
    <col min="38" max="38" width="5" style="249" bestFit="1" customWidth="1"/>
    <col min="39" max="39" width="4" style="249" bestFit="1" customWidth="1"/>
    <col min="40" max="40" width="5.7109375" style="249" bestFit="1" customWidth="1"/>
    <col min="41" max="42" width="5" style="249" bestFit="1" customWidth="1"/>
    <col min="43" max="43" width="4" style="249" bestFit="1" customWidth="1"/>
    <col min="44" max="44" width="3.85546875" style="249" bestFit="1" customWidth="1"/>
    <col min="45" max="45" width="3.42578125" style="249" bestFit="1" customWidth="1"/>
    <col min="46" max="46" width="6.85546875" style="249" customWidth="1"/>
    <col min="47" max="47" width="5.28515625" style="250" bestFit="1" customWidth="1"/>
    <col min="48" max="52" width="4.42578125" style="249" bestFit="1" customWidth="1"/>
    <col min="53" max="53" width="3.5703125" style="249" bestFit="1" customWidth="1"/>
    <col min="54" max="55" width="4.42578125" style="249" bestFit="1" customWidth="1"/>
    <col min="56" max="56" width="3.85546875" style="249" bestFit="1" customWidth="1"/>
    <col min="57" max="57" width="4.42578125" style="249" bestFit="1" customWidth="1"/>
    <col min="58" max="58" width="4" style="249" customWidth="1"/>
    <col min="59" max="59" width="3.42578125" style="249" bestFit="1" customWidth="1"/>
    <col min="60" max="60" width="5.5703125" style="249" bestFit="1" customWidth="1"/>
    <col min="61" max="61" width="4.85546875" style="250" customWidth="1"/>
    <col min="62" max="62" width="5.5703125" style="249" customWidth="1"/>
    <col min="63" max="66" width="5.7109375" style="249" bestFit="1" customWidth="1"/>
    <col min="67" max="67" width="6.140625" style="249" customWidth="1"/>
    <col min="68" max="68" width="6.85546875" style="249" customWidth="1"/>
    <col min="69" max="70" width="4.85546875" style="249" bestFit="1" customWidth="1"/>
    <col min="71" max="71" width="5" style="249" bestFit="1" customWidth="1"/>
    <col min="72" max="73" width="4.85546875" style="249" bestFit="1" customWidth="1"/>
    <col min="74" max="74" width="6" style="249" bestFit="1" customWidth="1"/>
    <col min="75" max="75" width="4.85546875" style="250" customWidth="1"/>
    <col min="76" max="76" width="5.5703125" style="249" bestFit="1" customWidth="1"/>
    <col min="77" max="77" width="6" style="249" bestFit="1" customWidth="1"/>
    <col min="78" max="79" width="5.7109375" style="249" bestFit="1" customWidth="1"/>
    <col min="80" max="80" width="4.5703125" style="249" bestFit="1" customWidth="1"/>
    <col min="81" max="81" width="5.7109375" style="249" bestFit="1" customWidth="1"/>
    <col min="82" max="83" width="4.5703125" style="249" bestFit="1" customWidth="1"/>
    <col min="84" max="84" width="5" style="249" bestFit="1" customWidth="1"/>
    <col min="85" max="87" width="4" style="249" bestFit="1" customWidth="1"/>
    <col min="88" max="88" width="7.140625" style="249" customWidth="1"/>
    <col min="89" max="89" width="5.28515625" style="250" customWidth="1"/>
    <col min="90" max="90" width="5.7109375" style="249" bestFit="1" customWidth="1"/>
    <col min="91" max="97" width="5.7109375" style="249" customWidth="1"/>
    <col min="98" max="98" width="4.85546875" style="249" customWidth="1"/>
    <col min="99" max="101" width="5.7109375" style="249" customWidth="1"/>
    <col min="102" max="102" width="6.85546875" style="249" bestFit="1" customWidth="1"/>
    <col min="103" max="103" width="1.42578125" style="248" customWidth="1"/>
    <col min="104" max="104" width="5.7109375" style="249" bestFit="1" customWidth="1"/>
    <col min="105" max="111" width="5.7109375" style="249" customWidth="1"/>
    <col min="112" max="112" width="4.85546875" style="249" customWidth="1"/>
    <col min="113" max="115" width="5.7109375" style="249" customWidth="1"/>
    <col min="116" max="116" width="6.85546875" style="249" bestFit="1" customWidth="1"/>
    <col min="117" max="117" width="2.140625" style="248" customWidth="1"/>
    <col min="118" max="118" width="8" style="283" customWidth="1"/>
    <col min="119" max="125" width="5.7109375" style="283" customWidth="1"/>
    <col min="126" max="126" width="8" style="283" customWidth="1"/>
    <col min="127" max="129" width="5.7109375" style="283" customWidth="1"/>
    <col min="130" max="130" width="6.85546875" style="283" bestFit="1" customWidth="1"/>
    <col min="131" max="131" width="2" style="248" customWidth="1"/>
    <col min="132" max="140" width="6" style="248" bestFit="1" customWidth="1"/>
    <col min="141" max="141" width="4.42578125" style="248" bestFit="1" customWidth="1"/>
    <col min="142" max="143" width="3.5703125" style="248" bestFit="1" customWidth="1"/>
    <col min="144" max="144" width="7" style="248" bestFit="1" customWidth="1"/>
    <col min="145" max="157" width="4" style="248"/>
    <col min="158" max="158" width="5.28515625" style="248" customWidth="1"/>
    <col min="159" max="171" width="4" style="248"/>
    <col min="172" max="172" width="4.7109375" style="248" customWidth="1"/>
    <col min="173" max="173" width="1" style="248" customWidth="1"/>
    <col min="174" max="182" width="5" style="248" bestFit="1" customWidth="1"/>
    <col min="183" max="183" width="3.7109375" style="248" bestFit="1" customWidth="1"/>
    <col min="184" max="184" width="3.140625" style="248" bestFit="1" customWidth="1"/>
    <col min="185" max="185" width="3.5703125" style="248" bestFit="1" customWidth="1"/>
    <col min="186" max="186" width="6" style="248" bestFit="1" customWidth="1"/>
    <col min="187" max="187" width="1.140625" style="248" customWidth="1"/>
    <col min="188" max="196" width="5" style="248" bestFit="1" customWidth="1"/>
    <col min="197" max="197" width="3.7109375" style="248" bestFit="1" customWidth="1"/>
    <col min="198" max="199" width="3.5703125" style="248" bestFit="1" customWidth="1"/>
    <col min="200" max="200" width="6.28515625" style="248" bestFit="1" customWidth="1"/>
    <col min="201" max="16384" width="4" style="248"/>
  </cols>
  <sheetData>
    <row r="1" spans="2:200" ht="15.75" customHeight="1" x14ac:dyDescent="0.25">
      <c r="C1" s="282" t="s">
        <v>210</v>
      </c>
      <c r="EP1" s="805"/>
      <c r="EQ1" s="805"/>
      <c r="ER1" s="805"/>
      <c r="ES1" s="805"/>
      <c r="ET1" s="805"/>
      <c r="EU1" s="805"/>
      <c r="EV1" s="805"/>
      <c r="EW1" s="805"/>
      <c r="EX1" s="805"/>
      <c r="EY1" s="805"/>
      <c r="EZ1" s="805"/>
      <c r="FA1" s="805"/>
      <c r="FB1" s="805"/>
    </row>
    <row r="2" spans="2:200" ht="65.25" customHeight="1" x14ac:dyDescent="0.3">
      <c r="C2" s="252" t="str">
        <f>+NOMBRE!B7</f>
        <v>ENERO - JULIO 2024</v>
      </c>
      <c r="E2" s="991" t="s">
        <v>535</v>
      </c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3"/>
      <c r="S2" s="991" t="s">
        <v>534</v>
      </c>
      <c r="T2" s="992"/>
      <c r="U2" s="992"/>
      <c r="V2" s="992"/>
      <c r="W2" s="992"/>
      <c r="X2" s="992"/>
      <c r="Y2" s="992"/>
      <c r="Z2" s="992"/>
      <c r="AA2" s="992"/>
      <c r="AB2" s="992"/>
      <c r="AC2" s="992"/>
      <c r="AD2" s="992"/>
      <c r="AE2" s="993"/>
      <c r="AH2" s="991" t="s">
        <v>533</v>
      </c>
      <c r="AI2" s="992"/>
      <c r="AJ2" s="992"/>
      <c r="AK2" s="992"/>
      <c r="AL2" s="992"/>
      <c r="AM2" s="992"/>
      <c r="AN2" s="992"/>
      <c r="AO2" s="992"/>
      <c r="AP2" s="992"/>
      <c r="AQ2" s="992"/>
      <c r="AR2" s="992"/>
      <c r="AS2" s="992"/>
      <c r="AT2" s="993"/>
      <c r="AU2" s="284"/>
      <c r="AV2" s="991" t="s">
        <v>532</v>
      </c>
      <c r="AW2" s="992"/>
      <c r="AX2" s="992"/>
      <c r="AY2" s="992"/>
      <c r="AZ2" s="992"/>
      <c r="BA2" s="992"/>
      <c r="BB2" s="992"/>
      <c r="BC2" s="992"/>
      <c r="BD2" s="992"/>
      <c r="BE2" s="992"/>
      <c r="BF2" s="992"/>
      <c r="BG2" s="992"/>
      <c r="BH2" s="993"/>
      <c r="BI2" s="284"/>
      <c r="BJ2" s="995" t="s">
        <v>446</v>
      </c>
      <c r="BK2" s="996"/>
      <c r="BL2" s="996"/>
      <c r="BM2" s="996"/>
      <c r="BN2" s="996"/>
      <c r="BO2" s="996"/>
      <c r="BP2" s="996"/>
      <c r="BQ2" s="996"/>
      <c r="BR2" s="996"/>
      <c r="BS2" s="996"/>
      <c r="BT2" s="996"/>
      <c r="BU2" s="996"/>
      <c r="BV2" s="997"/>
      <c r="BW2" s="284"/>
      <c r="BX2" s="995" t="s">
        <v>447</v>
      </c>
      <c r="BY2" s="996"/>
      <c r="BZ2" s="996"/>
      <c r="CA2" s="996"/>
      <c r="CB2" s="996"/>
      <c r="CC2" s="996"/>
      <c r="CD2" s="996"/>
      <c r="CE2" s="996"/>
      <c r="CF2" s="996"/>
      <c r="CG2" s="996"/>
      <c r="CH2" s="996"/>
      <c r="CI2" s="996"/>
      <c r="CJ2" s="997"/>
      <c r="CK2" s="284"/>
      <c r="CL2" s="985" t="s">
        <v>211</v>
      </c>
      <c r="CM2" s="986"/>
      <c r="CN2" s="986"/>
      <c r="CO2" s="986"/>
      <c r="CP2" s="986"/>
      <c r="CQ2" s="986"/>
      <c r="CR2" s="986"/>
      <c r="CS2" s="986"/>
      <c r="CT2" s="986"/>
      <c r="CU2" s="986"/>
      <c r="CV2" s="986"/>
      <c r="CW2" s="986"/>
      <c r="CX2" s="987"/>
      <c r="CZ2" s="985" t="s">
        <v>212</v>
      </c>
      <c r="DA2" s="986"/>
      <c r="DB2" s="986"/>
      <c r="DC2" s="986"/>
      <c r="DD2" s="986"/>
      <c r="DE2" s="986"/>
      <c r="DF2" s="986"/>
      <c r="DG2" s="986"/>
      <c r="DH2" s="986"/>
      <c r="DI2" s="986"/>
      <c r="DJ2" s="986"/>
      <c r="DK2" s="986"/>
      <c r="DL2" s="987"/>
      <c r="DM2" s="285"/>
      <c r="DN2" s="998" t="s">
        <v>213</v>
      </c>
      <c r="DO2" s="998"/>
      <c r="DP2" s="998"/>
      <c r="DQ2" s="998"/>
      <c r="DR2" s="998"/>
      <c r="DS2" s="998"/>
      <c r="DT2" s="998"/>
      <c r="DU2" s="998"/>
      <c r="DV2" s="998"/>
      <c r="DW2" s="998"/>
      <c r="DX2" s="998"/>
      <c r="DY2" s="998"/>
      <c r="DZ2" s="998"/>
      <c r="EB2" s="994" t="s">
        <v>448</v>
      </c>
      <c r="EC2" s="994"/>
      <c r="ED2" s="994"/>
      <c r="EE2" s="994"/>
      <c r="EF2" s="994"/>
      <c r="EG2" s="994"/>
      <c r="EH2" s="994"/>
      <c r="EI2" s="994"/>
      <c r="EJ2" s="994"/>
      <c r="EK2" s="994"/>
      <c r="EL2" s="994"/>
      <c r="EM2" s="994"/>
      <c r="EN2" s="994"/>
      <c r="EO2" s="286"/>
      <c r="EP2" s="994" t="s">
        <v>449</v>
      </c>
      <c r="EQ2" s="994"/>
      <c r="ER2" s="994"/>
      <c r="ES2" s="994"/>
      <c r="ET2" s="994"/>
      <c r="EU2" s="994"/>
      <c r="EV2" s="994"/>
      <c r="EW2" s="994"/>
      <c r="EX2" s="994"/>
      <c r="EY2" s="994"/>
      <c r="EZ2" s="994"/>
      <c r="FA2" s="994"/>
      <c r="FB2" s="994"/>
      <c r="FC2" s="286"/>
      <c r="FD2" s="994" t="s">
        <v>214</v>
      </c>
      <c r="FE2" s="994"/>
      <c r="FF2" s="994"/>
      <c r="FG2" s="994"/>
      <c r="FH2" s="994"/>
      <c r="FI2" s="994"/>
      <c r="FJ2" s="994"/>
      <c r="FK2" s="994"/>
      <c r="FL2" s="994"/>
      <c r="FM2" s="994"/>
      <c r="FN2" s="994"/>
      <c r="FO2" s="994"/>
      <c r="FP2" s="994"/>
      <c r="FQ2" s="286"/>
      <c r="FR2" s="994" t="s">
        <v>215</v>
      </c>
      <c r="FS2" s="994"/>
      <c r="FT2" s="994"/>
      <c r="FU2" s="994"/>
      <c r="FV2" s="994"/>
      <c r="FW2" s="994"/>
      <c r="FX2" s="994"/>
      <c r="FY2" s="994"/>
      <c r="FZ2" s="994"/>
      <c r="GA2" s="994"/>
      <c r="GB2" s="994"/>
      <c r="GC2" s="994"/>
      <c r="GD2" s="994"/>
      <c r="GE2"/>
      <c r="GF2" s="994" t="s">
        <v>216</v>
      </c>
      <c r="GG2" s="994"/>
      <c r="GH2" s="994"/>
      <c r="GI2" s="994"/>
      <c r="GJ2" s="994"/>
      <c r="GK2" s="994"/>
      <c r="GL2" s="994"/>
      <c r="GM2" s="994"/>
      <c r="GN2" s="994"/>
      <c r="GO2" s="994"/>
      <c r="GP2" s="994"/>
      <c r="GQ2" s="994"/>
      <c r="GR2" s="994"/>
    </row>
    <row r="3" spans="2:200" ht="6.75" customHeight="1" x14ac:dyDescent="0.3"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7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7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7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7"/>
      <c r="CY3" s="256"/>
      <c r="DM3" s="287"/>
      <c r="DN3" s="998"/>
      <c r="DO3" s="998"/>
      <c r="DP3" s="998"/>
      <c r="DQ3" s="998"/>
      <c r="DR3" s="998"/>
      <c r="DS3" s="998"/>
      <c r="DT3" s="998"/>
      <c r="DU3" s="998"/>
      <c r="DV3" s="998"/>
      <c r="DW3" s="998"/>
      <c r="DX3" s="998"/>
      <c r="DY3" s="998"/>
      <c r="DZ3" s="998"/>
      <c r="EA3" s="256"/>
      <c r="EB3" s="994"/>
      <c r="EC3" s="994"/>
      <c r="ED3" s="994"/>
      <c r="EE3" s="994"/>
      <c r="EF3" s="994"/>
      <c r="EG3" s="994"/>
      <c r="EH3" s="994"/>
      <c r="EI3" s="994"/>
      <c r="EJ3" s="994"/>
      <c r="EK3" s="994"/>
      <c r="EL3" s="994"/>
      <c r="EM3" s="994"/>
      <c r="EN3" s="994"/>
      <c r="EO3" s="286"/>
      <c r="EP3" s="994"/>
      <c r="EQ3" s="994"/>
      <c r="ER3" s="994"/>
      <c r="ES3" s="994"/>
      <c r="ET3" s="994"/>
      <c r="EU3" s="994"/>
      <c r="EV3" s="994"/>
      <c r="EW3" s="994"/>
      <c r="EX3" s="994"/>
      <c r="EY3" s="994"/>
      <c r="EZ3" s="994"/>
      <c r="FA3" s="994"/>
      <c r="FB3" s="994"/>
      <c r="FC3" s="286"/>
      <c r="FD3" s="994"/>
      <c r="FE3" s="994"/>
      <c r="FF3" s="994"/>
      <c r="FG3" s="994"/>
      <c r="FH3" s="994"/>
      <c r="FI3" s="994"/>
      <c r="FJ3" s="994"/>
      <c r="FK3" s="994"/>
      <c r="FL3" s="994"/>
      <c r="FM3" s="994"/>
      <c r="FN3" s="994"/>
      <c r="FO3" s="994"/>
      <c r="FP3" s="994"/>
      <c r="FQ3" s="286"/>
      <c r="FR3" s="994"/>
      <c r="FS3" s="994"/>
      <c r="FT3" s="994"/>
      <c r="FU3" s="994"/>
      <c r="FV3" s="994"/>
      <c r="FW3" s="994"/>
      <c r="FX3" s="994"/>
      <c r="FY3" s="994"/>
      <c r="FZ3" s="994"/>
      <c r="GA3" s="994"/>
      <c r="GB3" s="994"/>
      <c r="GC3" s="994"/>
      <c r="GD3" s="994"/>
      <c r="GE3"/>
      <c r="GF3" s="994"/>
      <c r="GG3" s="994"/>
      <c r="GH3" s="994"/>
      <c r="GI3" s="994"/>
      <c r="GJ3" s="994"/>
      <c r="GK3" s="994"/>
      <c r="GL3" s="994"/>
      <c r="GM3" s="994"/>
      <c r="GN3" s="994"/>
      <c r="GO3" s="994"/>
      <c r="GP3" s="994"/>
      <c r="GQ3" s="994"/>
      <c r="GR3" s="994"/>
    </row>
    <row r="4" spans="2:200" ht="21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H4" s="984" t="s">
        <v>188</v>
      </c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984"/>
      <c r="AU4" s="257"/>
      <c r="AV4" s="984" t="s">
        <v>188</v>
      </c>
      <c r="AW4" s="984"/>
      <c r="AX4" s="984"/>
      <c r="AY4" s="984"/>
      <c r="AZ4" s="984"/>
      <c r="BA4" s="984"/>
      <c r="BB4" s="984"/>
      <c r="BC4" s="984"/>
      <c r="BD4" s="984"/>
      <c r="BE4" s="984"/>
      <c r="BF4" s="984"/>
      <c r="BG4" s="984"/>
      <c r="BH4" s="984"/>
      <c r="BI4" s="257"/>
      <c r="BJ4" s="984" t="s">
        <v>188</v>
      </c>
      <c r="BK4" s="984"/>
      <c r="BL4" s="984"/>
      <c r="BM4" s="984"/>
      <c r="BN4" s="984"/>
      <c r="BO4" s="984"/>
      <c r="BP4" s="984"/>
      <c r="BQ4" s="984"/>
      <c r="BR4" s="984"/>
      <c r="BS4" s="984"/>
      <c r="BT4" s="984"/>
      <c r="BU4" s="984"/>
      <c r="BV4" s="984"/>
      <c r="BW4" s="257"/>
      <c r="BX4" s="984" t="s">
        <v>188</v>
      </c>
      <c r="BY4" s="984"/>
      <c r="BZ4" s="984"/>
      <c r="CA4" s="984"/>
      <c r="CB4" s="984"/>
      <c r="CC4" s="984"/>
      <c r="CD4" s="984"/>
      <c r="CE4" s="984"/>
      <c r="CF4" s="984"/>
      <c r="CG4" s="984"/>
      <c r="CH4" s="984"/>
      <c r="CI4" s="984"/>
      <c r="CJ4" s="984"/>
      <c r="CK4" s="257"/>
      <c r="CL4" s="984" t="s">
        <v>188</v>
      </c>
      <c r="CM4" s="984"/>
      <c r="CN4" s="984"/>
      <c r="CO4" s="984"/>
      <c r="CP4" s="984"/>
      <c r="CQ4" s="984"/>
      <c r="CR4" s="984"/>
      <c r="CS4" s="984"/>
      <c r="CT4" s="984"/>
      <c r="CU4" s="984"/>
      <c r="CV4" s="984"/>
      <c r="CW4" s="984"/>
      <c r="CX4" s="984"/>
      <c r="CY4" s="256"/>
      <c r="CZ4" s="984" t="s">
        <v>188</v>
      </c>
      <c r="DA4" s="984"/>
      <c r="DB4" s="984"/>
      <c r="DC4" s="984"/>
      <c r="DD4" s="984"/>
      <c r="DE4" s="984"/>
      <c r="DF4" s="984"/>
      <c r="DG4" s="984"/>
      <c r="DH4" s="984"/>
      <c r="DI4" s="984"/>
      <c r="DJ4" s="984"/>
      <c r="DK4" s="984"/>
      <c r="DL4" s="984"/>
      <c r="DM4" s="287"/>
      <c r="DN4" s="288" t="s">
        <v>189</v>
      </c>
      <c r="DO4" s="288" t="s">
        <v>190</v>
      </c>
      <c r="DP4" s="288" t="s">
        <v>191</v>
      </c>
      <c r="DQ4" s="288" t="s">
        <v>192</v>
      </c>
      <c r="DR4" s="288" t="s">
        <v>193</v>
      </c>
      <c r="DS4" s="288" t="s">
        <v>194</v>
      </c>
      <c r="DT4" s="288" t="s">
        <v>195</v>
      </c>
      <c r="DU4" s="288" t="s">
        <v>196</v>
      </c>
      <c r="DV4" s="288" t="s">
        <v>197</v>
      </c>
      <c r="DW4" s="288" t="s">
        <v>198</v>
      </c>
      <c r="DX4" s="288" t="s">
        <v>199</v>
      </c>
      <c r="DY4" s="288" t="s">
        <v>200</v>
      </c>
      <c r="DZ4" s="289" t="s">
        <v>203</v>
      </c>
      <c r="EA4" s="256"/>
      <c r="EB4" s="290" t="s">
        <v>189</v>
      </c>
      <c r="EC4" s="290" t="s">
        <v>190</v>
      </c>
      <c r="ED4" s="290" t="s">
        <v>191</v>
      </c>
      <c r="EE4" s="290" t="s">
        <v>192</v>
      </c>
      <c r="EF4" s="290" t="s">
        <v>193</v>
      </c>
      <c r="EG4" s="290" t="s">
        <v>194</v>
      </c>
      <c r="EH4" s="290" t="s">
        <v>195</v>
      </c>
      <c r="EI4" s="290" t="s">
        <v>196</v>
      </c>
      <c r="EJ4" s="290" t="s">
        <v>197</v>
      </c>
      <c r="EK4" s="290" t="s">
        <v>198</v>
      </c>
      <c r="EL4" s="290" t="s">
        <v>199</v>
      </c>
      <c r="EM4" s="290" t="s">
        <v>200</v>
      </c>
      <c r="EN4" s="291" t="s">
        <v>203</v>
      </c>
      <c r="EO4"/>
      <c r="EP4" s="290" t="s">
        <v>189</v>
      </c>
      <c r="EQ4" s="290" t="s">
        <v>190</v>
      </c>
      <c r="ER4" s="290" t="s">
        <v>191</v>
      </c>
      <c r="ES4" s="290" t="s">
        <v>192</v>
      </c>
      <c r="ET4" s="290" t="s">
        <v>193</v>
      </c>
      <c r="EU4" s="290" t="s">
        <v>194</v>
      </c>
      <c r="EV4" s="290" t="s">
        <v>195</v>
      </c>
      <c r="EW4" s="290" t="s">
        <v>196</v>
      </c>
      <c r="EX4" s="290" t="s">
        <v>197</v>
      </c>
      <c r="EY4" s="290" t="s">
        <v>198</v>
      </c>
      <c r="EZ4" s="290" t="s">
        <v>199</v>
      </c>
      <c r="FA4" s="290" t="s">
        <v>200</v>
      </c>
      <c r="FB4" s="291" t="s">
        <v>203</v>
      </c>
      <c r="FC4"/>
      <c r="FD4" s="290" t="s">
        <v>189</v>
      </c>
      <c r="FE4" s="290" t="s">
        <v>190</v>
      </c>
      <c r="FF4" s="290" t="s">
        <v>191</v>
      </c>
      <c r="FG4" s="290" t="s">
        <v>192</v>
      </c>
      <c r="FH4" s="290" t="s">
        <v>193</v>
      </c>
      <c r="FI4" s="290" t="s">
        <v>194</v>
      </c>
      <c r="FJ4" s="290" t="s">
        <v>195</v>
      </c>
      <c r="FK4" s="290" t="s">
        <v>196</v>
      </c>
      <c r="FL4" s="290" t="s">
        <v>197</v>
      </c>
      <c r="FM4" s="290" t="s">
        <v>198</v>
      </c>
      <c r="FN4" s="290" t="s">
        <v>199</v>
      </c>
      <c r="FO4" s="290" t="s">
        <v>200</v>
      </c>
      <c r="FP4" s="291" t="s">
        <v>203</v>
      </c>
      <c r="FQ4"/>
      <c r="FR4" s="290" t="s">
        <v>189</v>
      </c>
      <c r="FS4" s="290" t="s">
        <v>190</v>
      </c>
      <c r="FT4" s="290" t="s">
        <v>191</v>
      </c>
      <c r="FU4" s="290" t="s">
        <v>192</v>
      </c>
      <c r="FV4" s="290" t="s">
        <v>193</v>
      </c>
      <c r="FW4" s="290" t="s">
        <v>194</v>
      </c>
      <c r="FX4" s="290" t="s">
        <v>195</v>
      </c>
      <c r="FY4" s="290" t="s">
        <v>196</v>
      </c>
      <c r="FZ4" s="290" t="s">
        <v>197</v>
      </c>
      <c r="GA4" s="290" t="s">
        <v>198</v>
      </c>
      <c r="GB4" s="290" t="s">
        <v>199</v>
      </c>
      <c r="GC4" s="290" t="s">
        <v>200</v>
      </c>
      <c r="GD4" s="291" t="s">
        <v>203</v>
      </c>
      <c r="GE4"/>
      <c r="GF4" s="290" t="s">
        <v>189</v>
      </c>
      <c r="GG4" s="290" t="s">
        <v>190</v>
      </c>
      <c r="GH4" s="290" t="s">
        <v>191</v>
      </c>
      <c r="GI4" s="290" t="s">
        <v>192</v>
      </c>
      <c r="GJ4" s="290" t="s">
        <v>193</v>
      </c>
      <c r="GK4" s="290" t="s">
        <v>194</v>
      </c>
      <c r="GL4" s="290" t="s">
        <v>195</v>
      </c>
      <c r="GM4" s="290" t="s">
        <v>196</v>
      </c>
      <c r="GN4" s="290" t="s">
        <v>197</v>
      </c>
      <c r="GO4" s="290" t="s">
        <v>198</v>
      </c>
      <c r="GP4" s="290" t="s">
        <v>199</v>
      </c>
      <c r="GQ4" s="290" t="s">
        <v>200</v>
      </c>
      <c r="GR4" s="291" t="s">
        <v>203</v>
      </c>
    </row>
    <row r="5" spans="2:200" x14ac:dyDescent="0.2">
      <c r="B5" s="292" t="s">
        <v>93</v>
      </c>
      <c r="C5" s="293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H5" s="259" t="s">
        <v>189</v>
      </c>
      <c r="AI5" s="259" t="s">
        <v>190</v>
      </c>
      <c r="AJ5" s="259" t="s">
        <v>191</v>
      </c>
      <c r="AK5" s="259" t="s">
        <v>192</v>
      </c>
      <c r="AL5" s="259" t="s">
        <v>193</v>
      </c>
      <c r="AM5" s="259" t="s">
        <v>194</v>
      </c>
      <c r="AN5" s="259" t="s">
        <v>195</v>
      </c>
      <c r="AO5" s="259" t="s">
        <v>196</v>
      </c>
      <c r="AP5" s="259" t="s">
        <v>197</v>
      </c>
      <c r="AQ5" s="259" t="s">
        <v>198</v>
      </c>
      <c r="AR5" s="259" t="s">
        <v>199</v>
      </c>
      <c r="AS5" s="259" t="s">
        <v>200</v>
      </c>
      <c r="AT5" s="260" t="s">
        <v>201</v>
      </c>
      <c r="AU5" s="256"/>
      <c r="AV5" s="259" t="s">
        <v>189</v>
      </c>
      <c r="AW5" s="259" t="s">
        <v>190</v>
      </c>
      <c r="AX5" s="259" t="s">
        <v>191</v>
      </c>
      <c r="AY5" s="259" t="s">
        <v>192</v>
      </c>
      <c r="AZ5" s="259" t="s">
        <v>193</v>
      </c>
      <c r="BA5" s="259" t="s">
        <v>194</v>
      </c>
      <c r="BB5" s="259" t="s">
        <v>195</v>
      </c>
      <c r="BC5" s="259" t="s">
        <v>196</v>
      </c>
      <c r="BD5" s="259" t="s">
        <v>197</v>
      </c>
      <c r="BE5" s="259" t="s">
        <v>198</v>
      </c>
      <c r="BF5" s="259" t="s">
        <v>199</v>
      </c>
      <c r="BG5" s="259" t="s">
        <v>200</v>
      </c>
      <c r="BH5" s="260" t="s">
        <v>201</v>
      </c>
      <c r="BI5" s="256"/>
      <c r="BJ5" s="259" t="s">
        <v>189</v>
      </c>
      <c r="BK5" s="259" t="s">
        <v>190</v>
      </c>
      <c r="BL5" s="259" t="s">
        <v>191</v>
      </c>
      <c r="BM5" s="259" t="s">
        <v>192</v>
      </c>
      <c r="BN5" s="259" t="s">
        <v>193</v>
      </c>
      <c r="BO5" s="259" t="s">
        <v>194</v>
      </c>
      <c r="BP5" s="259" t="s">
        <v>195</v>
      </c>
      <c r="BQ5" s="259" t="s">
        <v>196</v>
      </c>
      <c r="BR5" s="259" t="s">
        <v>197</v>
      </c>
      <c r="BS5" s="259" t="s">
        <v>198</v>
      </c>
      <c r="BT5" s="259" t="s">
        <v>199</v>
      </c>
      <c r="BU5" s="259" t="s">
        <v>200</v>
      </c>
      <c r="BV5" s="260" t="s">
        <v>201</v>
      </c>
      <c r="BW5" s="256"/>
      <c r="BX5" s="259" t="s">
        <v>189</v>
      </c>
      <c r="BY5" s="259" t="s">
        <v>190</v>
      </c>
      <c r="BZ5" s="259" t="s">
        <v>191</v>
      </c>
      <c r="CA5" s="259" t="s">
        <v>192</v>
      </c>
      <c r="CB5" s="259" t="s">
        <v>193</v>
      </c>
      <c r="CC5" s="259" t="s">
        <v>194</v>
      </c>
      <c r="CD5" s="259" t="s">
        <v>195</v>
      </c>
      <c r="CE5" s="259" t="s">
        <v>196</v>
      </c>
      <c r="CF5" s="259" t="s">
        <v>197</v>
      </c>
      <c r="CG5" s="259" t="s">
        <v>198</v>
      </c>
      <c r="CH5" s="259" t="s">
        <v>199</v>
      </c>
      <c r="CI5" s="259" t="s">
        <v>200</v>
      </c>
      <c r="CJ5" s="260" t="s">
        <v>201</v>
      </c>
      <c r="CK5" s="256"/>
      <c r="CL5" s="259" t="s">
        <v>189</v>
      </c>
      <c r="CM5" s="259" t="s">
        <v>190</v>
      </c>
      <c r="CN5" s="259" t="s">
        <v>191</v>
      </c>
      <c r="CO5" s="259" t="s">
        <v>192</v>
      </c>
      <c r="CP5" s="259" t="s">
        <v>193</v>
      </c>
      <c r="CQ5" s="259" t="s">
        <v>194</v>
      </c>
      <c r="CR5" s="259" t="s">
        <v>195</v>
      </c>
      <c r="CS5" s="259" t="s">
        <v>196</v>
      </c>
      <c r="CT5" s="259" t="s">
        <v>197</v>
      </c>
      <c r="CU5" s="259" t="s">
        <v>198</v>
      </c>
      <c r="CV5" s="259" t="s">
        <v>199</v>
      </c>
      <c r="CW5" s="259" t="s">
        <v>200</v>
      </c>
      <c r="CX5" s="260" t="s">
        <v>201</v>
      </c>
      <c r="CY5" s="256"/>
      <c r="CZ5" s="259" t="s">
        <v>189</v>
      </c>
      <c r="DA5" s="259" t="s">
        <v>190</v>
      </c>
      <c r="DB5" s="259" t="s">
        <v>191</v>
      </c>
      <c r="DC5" s="259" t="s">
        <v>192</v>
      </c>
      <c r="DD5" s="259" t="s">
        <v>193</v>
      </c>
      <c r="DE5" s="259" t="s">
        <v>194</v>
      </c>
      <c r="DF5" s="259" t="s">
        <v>195</v>
      </c>
      <c r="DG5" s="259" t="s">
        <v>196</v>
      </c>
      <c r="DH5" s="259" t="s">
        <v>197</v>
      </c>
      <c r="DI5" s="259" t="s">
        <v>198</v>
      </c>
      <c r="DJ5" s="259" t="s">
        <v>199</v>
      </c>
      <c r="DK5" s="259" t="s">
        <v>200</v>
      </c>
      <c r="DL5" s="260" t="s">
        <v>201</v>
      </c>
      <c r="DM5" s="287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5"/>
      <c r="EA5" s="256"/>
      <c r="EB5" s="272"/>
      <c r="EC5" s="256"/>
      <c r="ED5" s="256"/>
      <c r="EE5" s="256"/>
      <c r="EN5" s="296"/>
      <c r="EP5" s="297"/>
      <c r="FB5" s="296"/>
      <c r="FD5" s="297"/>
      <c r="FP5" s="296"/>
      <c r="FR5" s="297"/>
      <c r="GD5" s="296"/>
      <c r="GF5" s="297"/>
      <c r="GR5" s="296"/>
    </row>
    <row r="6" spans="2:200" x14ac:dyDescent="0.2">
      <c r="B6" s="150">
        <v>107307</v>
      </c>
      <c r="C6" s="151" t="s">
        <v>95</v>
      </c>
      <c r="D6" s="248"/>
      <c r="E6" s="791">
        <f>SUM([2]A05!$H$114,[2]A05!$J$114,[2]A05!$L$114,[2]A05!$N$114,[2]A05!$P$114,[2]A05!$R$114,[2]A05!$T$114,[2]A05!$V$114,[2]A05!$X$114)</f>
        <v>28</v>
      </c>
      <c r="F6" s="790">
        <f>SUM([3]A05!$H$114,[3]A05!$J$114,[3]A05!$L$114,[3]A05!$N$114,[3]A05!$P$114,[3]A05!$R$114,[3]A05!$T$114,[3]A05!$V$114,[3]A05!$X$114)</f>
        <v>7</v>
      </c>
      <c r="G6" s="791">
        <f>SUM([4]A05!$H$114,[4]A05!$J$114,[4]A05!$L$114,[4]A05!$N$114,[4]A05!$P$114,[4]A05!$R$114,[4]A05!$T$114,[4]A05!$V$114,[4]A05!$X$114)</f>
        <v>18</v>
      </c>
      <c r="H6" s="791">
        <f>SUM([5]A05!$H$114,[5]A05!$J$114,[5]A05!$L$114,[5]A05!$N$114,[5]A05!$P$114,[5]A05!$R$114,[5]A05!$T$114,[5]A05!$V$114,[5]A05!$X$114)</f>
        <v>12</v>
      </c>
      <c r="I6" s="791">
        <f>SUM([6]A05!$H$114,[6]A05!$J$114,[6]A05!$L$114,[6]A05!$N$114,[6]A05!$P$114,[6]A05!$R$114,[6]A05!$T$114,[6]A05!$V$114,[6]A05!$X$114)</f>
        <v>15</v>
      </c>
      <c r="J6" s="791">
        <f>SUM([7]A05!$H$114,[7]A05!$J$114,[7]A05!$L$114,[7]A05!$N$114,[7]A05!$P$114,[7]A05!$R$114,[7]A05!$T$114,[7]A05!$V$114,[7]A05!$X$114)</f>
        <v>17</v>
      </c>
      <c r="K6" s="791">
        <f>SUM([8]A05!$H$114,[8]A05!$J$114,[8]A05!$L$114,[8]A05!$N$114,[8]A05!$P$114,[8]A05!$R$114,[8]A05!$T$114,[8]A05!$V$114,[8]A05!$X$114)</f>
        <v>13</v>
      </c>
      <c r="L6" s="274"/>
      <c r="M6" s="621"/>
      <c r="N6" s="621"/>
      <c r="O6" s="621"/>
      <c r="P6" s="621"/>
      <c r="Q6" s="620">
        <f>SUM(E6:P6)</f>
        <v>110</v>
      </c>
      <c r="R6" s="248"/>
      <c r="S6" s="621">
        <f>SUM([2]A05!$I$114,[2]A05!$K$114,[2]A05!$M$114,[2]A05!$O$114,[2]A05!$Q$114,[2]A05!$S$114,[2]A05!$U$114,[2]A05!$W$114,[2]A05!$Y$114)</f>
        <v>36</v>
      </c>
      <c r="T6" s="790">
        <f>SUM([3]A05!$I$114,[3]A05!$K$114,[3]A05!$M$114,[3]A05!$O$114,[3]A05!$Q$114,[3]A05!$S$114,[3]A05!$U$114,[3]A05!$W$114,[3]A05!$Y$114)</f>
        <v>13</v>
      </c>
      <c r="U6" s="621">
        <f>SUM([4]A05!$I$114,[4]A05!$K$114,[4]A05!$M$114,[4]A05!$O$114,[4]A05!$Q$114,[4]A05!$S$114,[4]A05!$U$114,[4]A05!$W$114,[4]A05!$Y$114)</f>
        <v>30</v>
      </c>
      <c r="V6" s="621">
        <f>SUM([5]A05!$I$114,[5]A05!$K$114,[5]A05!$M$114,[5]A05!$O$114,[5]A05!$Q$114,[5]A05!$S$114,[5]A05!$U$114,[5]A05!$W$114,[5]A05!$Y$114)</f>
        <v>24</v>
      </c>
      <c r="W6" s="621">
        <f>SUM([6]A05!$I$114,[6]A05!$K$114,[6]A05!$M$114,[6]A05!$O$114,[6]A05!$Q$114,[6]A05!$S$114,[6]A05!$U$114,[6]A05!$W$114,[6]A05!$Y$114)</f>
        <v>26</v>
      </c>
      <c r="X6" s="621">
        <f>SUM([7]A05!$I$114,[7]A05!$K$114,[7]A05!$M$114,[7]A05!$O$114,[7]A05!$Q$114,[7]A05!$S$114,[7]A05!$U$114,[7]A05!$W$114,[7]A05!$Y$114)</f>
        <v>25</v>
      </c>
      <c r="Y6" s="621">
        <f>SUM([8]A05!$I$114,[8]A05!$K$114,[8]A05!$M$114,[8]A05!$O$114,[8]A05!$Q$114,[8]A05!$S$114,[8]A05!$U$114,[8]A05!$W$114,[8]A05!$Y$114)</f>
        <v>28</v>
      </c>
      <c r="Z6" s="274"/>
      <c r="AA6" s="621"/>
      <c r="AB6" s="621"/>
      <c r="AC6" s="621"/>
      <c r="AD6" s="621"/>
      <c r="AE6" s="620">
        <f>SUM(S6:AD6)</f>
        <v>182</v>
      </c>
      <c r="AF6" s="248"/>
      <c r="AG6" s="248"/>
      <c r="AH6" s="621">
        <f>SUM([2]A05!$H$127,[2]A05!$J$127,[2]A05!$L$127,[2]A05!$N$127,[2]A05!$P$127,[2]A05!$R$127,[2]A05!$T$127,[2]A05!$V$127,[2]A05!$X$127)</f>
        <v>3</v>
      </c>
      <c r="AI6" s="790">
        <f>SUM([3]A05!$H$127,[3]A05!$J$127,[3]A05!$L$127,[3]A05!$N$127,[3]A05!$P$127,[3]A05!$R$127,[3]A05!$T$127,[3]A05!$V$127,[3]A05!$X$127)</f>
        <v>2</v>
      </c>
      <c r="AJ6" s="621">
        <f>SUM([4]A05!$H$127,[4]A05!$J$127,[4]A05!$L$127,[4]A05!$N$127,[4]A05!$P$127,[4]A05!$R$127,[4]A05!$T$127,[4]A05!$V$127,[4]A05!$X$127)</f>
        <v>0</v>
      </c>
      <c r="AK6" s="621">
        <f>SUM([5]A05!$H$127,[5]A05!$J$127,[5]A05!$L$127,[5]A05!$N$127,[5]A05!$P$127,[5]A05!$R$127,[5]A05!$T$127,[5]A05!$V$127,[5]A05!$X$127)</f>
        <v>3</v>
      </c>
      <c r="AL6" s="621">
        <f>SUM([6]A05!$H$127,[6]A05!$J$127,[6]A05!$L$127,[6]A05!$N$127,[6]A05!$P$127,[6]A05!$R$127,[6]A05!$T$127,[6]A05!$V$127,[6]A05!$X$127)</f>
        <v>0</v>
      </c>
      <c r="AM6" s="621">
        <f>SUM([7]A05!$H$127,[7]A05!$J$127,[7]A05!$L$127,[7]A05!$N$127,[7]A05!$P$127,[7]A05!$R$127,[7]A05!$T$127,[7]A05!$V$127,[7]A05!$X$127)</f>
        <v>4</v>
      </c>
      <c r="AN6" s="621">
        <f>SUM([8]A05!$H$127,[8]A05!$J$127,[8]A05!$L$127,[8]A05!$N$127,[8]A05!$P$127,[8]A05!$R$127,[8]A05!$T$127,[8]A05!$V$127,[8]A05!$X$127)</f>
        <v>1</v>
      </c>
      <c r="AO6" s="274"/>
      <c r="AP6" s="621"/>
      <c r="AQ6" s="621"/>
      <c r="AR6" s="621"/>
      <c r="AS6" s="621"/>
      <c r="AT6" s="620">
        <f>SUM(AH6:AS6)</f>
        <v>13</v>
      </c>
      <c r="AU6" s="256"/>
      <c r="AV6" s="621">
        <f>SUM([2]A05!$I$127,[2]A05!$K$127,[2]A05!$M$127,[2]A05!$O$127,[2]A05!$Q$127,[2]A05!$S$127,[2]A05!$U$127,[2]A05!$W$127,[2]A05!$Y$127)</f>
        <v>3</v>
      </c>
      <c r="AW6" s="790">
        <f>SUM([3]A05!$I$127,[3]A05!$K$127,[3]A05!$M$127,[3]A05!$O$127,[3]A05!$Q$127,[3]A05!$S$127,[3]A05!$U$127,[3]A05!$W$127,[3]A05!$Y$127)</f>
        <v>2</v>
      </c>
      <c r="AX6" s="621">
        <f>SUM([4]A05!$I$127,[4]A05!$K$127,[4]A05!$M$127,[4]A05!$O$127,[4]A05!$Q$127,[4]A05!$S$127,[4]A05!$U$127,[4]A05!$W$127,[4]A05!$Y$127)</f>
        <v>0</v>
      </c>
      <c r="AY6" s="621">
        <f>SUM([5]A05!$I$127,[5]A05!$K$127,[5]A05!$M$127,[5]A05!$O$127,[5]A05!$Q$127,[5]A05!$S$127,[5]A05!$U$127,[5]A05!$W$127,[5]A05!$Y$127)</f>
        <v>9</v>
      </c>
      <c r="AZ6" s="621">
        <f>SUM([6]A05!$I$127,[6]A05!$K$127,[6]A05!$M$127,[6]A05!$O$127,[6]A05!$Q$127,[6]A05!$S$127,[6]A05!$U$127,[6]A05!$W$127,[6]A05!$Y$127)</f>
        <v>0</v>
      </c>
      <c r="BA6" s="621">
        <f>SUM([7]A05!$I$127,[7]A05!$K$127,[7]A05!$M$127,[7]A05!$O$127,[7]A05!$Q$127,[7]A05!$S$127,[7]A05!$U$127,[7]A05!$W$127,[7]A05!$Y$127)</f>
        <v>4</v>
      </c>
      <c r="BB6" s="621">
        <f>SUM([8]A05!$I$127,[8]A05!$K$127,[8]A05!$M$127,[8]A05!$O$127,[8]A05!$Q$127,[8]A05!$S$127,[8]A05!$U$127,[8]A05!$W$127,[8]A05!$Y$127)</f>
        <v>0</v>
      </c>
      <c r="BC6" s="274"/>
      <c r="BD6" s="621"/>
      <c r="BE6" s="621"/>
      <c r="BF6" s="621"/>
      <c r="BG6" s="621"/>
      <c r="BH6" s="803">
        <f>SUM(AV6:BG6)</f>
        <v>18</v>
      </c>
      <c r="BI6" s="256"/>
      <c r="BJ6" s="621">
        <f>[2]A05!$C$186</f>
        <v>53</v>
      </c>
      <c r="BK6" s="790">
        <f>[3]A05!$C$186</f>
        <v>66</v>
      </c>
      <c r="BL6" s="621">
        <f>[4]A05!$C$186</f>
        <v>73</v>
      </c>
      <c r="BM6" s="621">
        <f>[5]A05!$C$186</f>
        <v>87</v>
      </c>
      <c r="BN6" s="621">
        <f>[6]A05!$C$186</f>
        <v>88</v>
      </c>
      <c r="BO6" s="621">
        <f>[7]A05!$C$186</f>
        <v>79</v>
      </c>
      <c r="BP6" s="621">
        <f>[8]A05!$C$186</f>
        <v>77</v>
      </c>
      <c r="BQ6" s="274"/>
      <c r="BR6" s="621"/>
      <c r="BS6" s="621"/>
      <c r="BT6" s="621"/>
      <c r="BU6" s="621"/>
      <c r="BV6" s="803">
        <f>SUM(BJ6:BU6)</f>
        <v>523</v>
      </c>
      <c r="BW6" s="256"/>
      <c r="BX6" s="611">
        <f>SUM([2]A05!$C$234,[2]A05!$AN$241,[2]A05!$AO$241,[2]A05!$AP$241)</f>
        <v>46</v>
      </c>
      <c r="BY6" s="793">
        <f>SUM([3]A05!$C$234,[3]A05!$AN$241,[3]A05!$AO$241,[3]A05!$AP$241)</f>
        <v>23</v>
      </c>
      <c r="BZ6" s="611">
        <f>SUM([4]A05!$C$234,[4]A05!$AN$241,[4]A05!$AO$241,[4]A05!$AP$241)</f>
        <v>54</v>
      </c>
      <c r="CA6" s="611">
        <f>SUM([5]A05!$C$234,[5]A05!$AN$241,[5]A05!$AO$241,[5]A05!$AP$241)</f>
        <v>21</v>
      </c>
      <c r="CB6" s="611">
        <f>SUM([6]A05!$C$234,[6]A05!$AN$241,[6]A05!$AO$241,[6]A05!$AP$241)</f>
        <v>40</v>
      </c>
      <c r="CC6" s="611">
        <f>SUM([7]A05!$C$234,[7]A05!$AN$241,[7]A05!$AO$241,[7]A05!$AP$241)</f>
        <v>111</v>
      </c>
      <c r="CD6" s="611">
        <f>SUM([8]A05!$C$234,[8]A05!$AN$241,[8]A05!$AO$241,[8]A05!$AP$241)</f>
        <v>12</v>
      </c>
      <c r="CE6" s="256"/>
      <c r="CF6" s="434"/>
      <c r="CG6" s="434"/>
      <c r="CH6" s="434"/>
      <c r="CI6" s="434"/>
      <c r="CJ6" s="262">
        <f>SUM(BX6:CI6)</f>
        <v>307</v>
      </c>
      <c r="CK6" s="256"/>
      <c r="CL6" s="611">
        <f>SUM([2]A09!$G$12:$AB$12)</f>
        <v>173</v>
      </c>
      <c r="CM6" s="611">
        <f>SUM([3]A09!$G$12:$AB$12)</f>
        <v>173</v>
      </c>
      <c r="CN6" s="611">
        <f>SUM([4]A09!$G$12:$AB$12)</f>
        <v>168</v>
      </c>
      <c r="CO6" s="611">
        <f>SUM([5]A09!$G$12:$AB$12)</f>
        <v>178</v>
      </c>
      <c r="CP6" s="611">
        <f>SUM([6]A09!$G$12:$AB$12)</f>
        <v>138</v>
      </c>
      <c r="CQ6" s="611">
        <f>SUM([7]A09!$G$12:$AB$12)</f>
        <v>190</v>
      </c>
      <c r="CR6" s="611">
        <f>SUM([8]A09!$G$12:$AB$12)</f>
        <v>181</v>
      </c>
      <c r="CS6" s="256"/>
      <c r="CT6" s="434"/>
      <c r="CU6" s="434"/>
      <c r="CV6" s="434"/>
      <c r="CW6" s="434"/>
      <c r="CX6" s="262">
        <f>SUM(CL6:CW6)</f>
        <v>1201</v>
      </c>
      <c r="CY6" s="256"/>
      <c r="CZ6" s="611">
        <f>SUM([2]A09!$G$48:$L$48)</f>
        <v>21</v>
      </c>
      <c r="DA6" s="611">
        <f>SUM([3]A09!$G$48:$L$48)</f>
        <v>21</v>
      </c>
      <c r="DB6" s="611">
        <f>SUM([4]A09!$G$48:$L$48)</f>
        <v>27</v>
      </c>
      <c r="DC6" s="611">
        <f>SUM([5]A09!$G$48:$L$48)</f>
        <v>45</v>
      </c>
      <c r="DD6" s="611">
        <f>SUM([6]A09!$G$48:$L$48)</f>
        <v>16</v>
      </c>
      <c r="DE6" s="611">
        <f>SUM([7]A09!$G$48:$L$48)</f>
        <v>17</v>
      </c>
      <c r="DF6" s="611">
        <f>SUM([8]A09!$G$48:$L$48)</f>
        <v>45</v>
      </c>
      <c r="DG6" s="256"/>
      <c r="DH6" s="434"/>
      <c r="DI6" s="434"/>
      <c r="DJ6" s="434"/>
      <c r="DK6" s="434"/>
      <c r="DL6" s="262">
        <f>SUM(CZ6:DK6)</f>
        <v>192</v>
      </c>
      <c r="DM6" s="287"/>
      <c r="DN6" s="436">
        <f>+EB6+EP6+FD6+FR6+GF6</f>
        <v>1032</v>
      </c>
      <c r="DO6" s="436">
        <f t="shared" ref="DN6:DU12" si="0">+EC6+EQ6+FE6+FS6+GG6</f>
        <v>893</v>
      </c>
      <c r="DP6" s="436">
        <f t="shared" si="0"/>
        <v>1040</v>
      </c>
      <c r="DQ6" s="436">
        <f t="shared" si="0"/>
        <v>972</v>
      </c>
      <c r="DR6" s="436">
        <f>+EF6+ET6+FH6+FV6+GJ6</f>
        <v>1028</v>
      </c>
      <c r="DS6" s="436">
        <f t="shared" si="0"/>
        <v>1094</v>
      </c>
      <c r="DT6" s="436">
        <f t="shared" si="0"/>
        <v>1086</v>
      </c>
      <c r="DU6" s="436">
        <f t="shared" si="0"/>
        <v>0</v>
      </c>
      <c r="DV6" s="436">
        <f>+EJ6+EX6+FL6+FZ6+GN6</f>
        <v>0</v>
      </c>
      <c r="DW6" s="436">
        <f t="shared" ref="DW6:DY12" si="1">+EK6+EY6+FM6+GA6+GO6</f>
        <v>0</v>
      </c>
      <c r="DX6" s="436">
        <f t="shared" si="1"/>
        <v>0</v>
      </c>
      <c r="DY6" s="436">
        <f t="shared" si="1"/>
        <v>0</v>
      </c>
      <c r="DZ6" s="262">
        <f>SUM(DN6:DY6)</f>
        <v>7145</v>
      </c>
      <c r="EA6" s="256"/>
      <c r="EB6" s="623">
        <f>SUM([2]A06!$C$22:$C$23,[2]A06!$E$32)</f>
        <v>947</v>
      </c>
      <c r="EC6" s="623">
        <f>SUM([3]A06!$C$22:$C$23,[3]A06!$E$32)</f>
        <v>785</v>
      </c>
      <c r="ED6" s="623">
        <f>SUM([4]A06!$C$22:$C$23,[4]A06!$E$32)</f>
        <v>957</v>
      </c>
      <c r="EE6" s="623">
        <f>SUM([5]A06!$C$22:$C$23,[5]A06!$E$32)</f>
        <v>859</v>
      </c>
      <c r="EF6" s="623">
        <f>SUM([6]A06!$C$22:$C$23,[6]A06!$E$32)</f>
        <v>933</v>
      </c>
      <c r="EG6" s="623">
        <f>SUM([7]A06!$C$22:$C$23,[7]A06!$E$32)</f>
        <v>956</v>
      </c>
      <c r="EH6" s="623">
        <f>SUM([8]A06!$C$22:$C$23,[8]A06!$E$32)</f>
        <v>972</v>
      </c>
      <c r="EJ6" s="437"/>
      <c r="EK6" s="437"/>
      <c r="EL6" s="437"/>
      <c r="EM6" s="437"/>
      <c r="EN6" s="262">
        <f>SUM(EB6:EM6)</f>
        <v>6409</v>
      </c>
      <c r="EP6" s="624">
        <f>SUM([2]A19a!$C$97,$C$99)</f>
        <v>19</v>
      </c>
      <c r="EQ6" s="624">
        <f>SUM([3]A19a!$C$97,$C$99)</f>
        <v>8</v>
      </c>
      <c r="ER6" s="624">
        <f>SUM([4]A19a!$C$97,$C$99)</f>
        <v>8</v>
      </c>
      <c r="ES6" s="624">
        <f>SUM([5]A19a!$C$97,$C$99)</f>
        <v>8</v>
      </c>
      <c r="ET6" s="624">
        <f>SUM([6]A19a!$C$97,$C$99)</f>
        <v>14</v>
      </c>
      <c r="EU6" s="624">
        <f>SUM([7]A19a!$C$97,$C$99)</f>
        <v>32</v>
      </c>
      <c r="EV6" s="624">
        <f>SUM([8]A19a!$C$97,$C$99)</f>
        <v>4</v>
      </c>
      <c r="EX6" s="437"/>
      <c r="EY6" s="437"/>
      <c r="EZ6" s="437"/>
      <c r="FA6" s="437"/>
      <c r="FB6" s="262">
        <f>SUM(EP6:FA6)</f>
        <v>93</v>
      </c>
      <c r="FD6" s="624">
        <f>SUM([2]A26!$C$30:$C$31,[2]A26!$C$38:$E$38)</f>
        <v>38</v>
      </c>
      <c r="FE6" s="624">
        <f>SUM([3]A26!$C$30:$C$31,[3]A26!$C$38:$E$38)</f>
        <v>63</v>
      </c>
      <c r="FF6" s="624">
        <f>SUM([4]A26!$C$30:$C$31,[4]A26!$C$38:$E$38)</f>
        <v>34</v>
      </c>
      <c r="FG6" s="624">
        <f>SUM([5]A26!$C$30:$C$31,[5]A26!$C$38:$E$38)</f>
        <v>35</v>
      </c>
      <c r="FH6" s="624">
        <f>SUM([6]A26!$C$30:$C$31,[6]A26!$C$38:$E$38)</f>
        <v>29</v>
      </c>
      <c r="FI6" s="624">
        <f>SUM([7]A26!$C$30:$C$31,[7]A26!$C$38:$E$38)</f>
        <v>25</v>
      </c>
      <c r="FJ6" s="624">
        <f>SUM([8]A26!$C$30:$C$31,[8]A26!$C$38:$E$38)</f>
        <v>45</v>
      </c>
      <c r="FL6" s="437"/>
      <c r="FM6" s="437"/>
      <c r="FN6" s="437"/>
      <c r="FO6" s="437"/>
      <c r="FP6" s="262">
        <f>SUM(FD6:FO6)</f>
        <v>269</v>
      </c>
      <c r="FR6" s="624">
        <f>SUM([2]A32!$B$127:$B$129,[2]A32!$C$144,[2]A32!$C$155)</f>
        <v>0</v>
      </c>
      <c r="FS6" s="624">
        <f>SUM([3]A32!$B$127:$B$129,[3]A32!$C$144,[3]A32!$C$155)</f>
        <v>0</v>
      </c>
      <c r="FT6" s="624">
        <f>SUM([4]A32!$B$127:$B$129,[4]A32!$C$144,[4]A32!$C$155)</f>
        <v>0</v>
      </c>
      <c r="FU6" s="624">
        <f>SUM([5]A32!$B$127:$B$129,[5]A32!$C$144,[5]A32!$C$155)</f>
        <v>0</v>
      </c>
      <c r="FV6" s="624">
        <f>SUM([6]A32!$B$127:$B$129,[6]A32!$C$144,[6]A32!$C$155)</f>
        <v>0</v>
      </c>
      <c r="FW6" s="624">
        <f>SUM([7]A32!$B$127:$B$129,[7]A32!$C$144,[7]A32!$C$155)</f>
        <v>0</v>
      </c>
      <c r="FX6" s="624">
        <f>SUM([8]A32!$B$127:$B$129,[8]A32!$C$144,[8]A32!$C$155)</f>
        <v>0</v>
      </c>
      <c r="FZ6" s="437"/>
      <c r="GA6" s="437"/>
      <c r="GB6" s="437"/>
      <c r="GC6" s="437"/>
      <c r="GD6" s="262">
        <f>SUM(FR6:GC6)</f>
        <v>0</v>
      </c>
      <c r="GF6" s="624">
        <f>SUM([2]A04!$B$24)</f>
        <v>28</v>
      </c>
      <c r="GG6" s="624">
        <f>SUM([3]A04!$B$24)</f>
        <v>37</v>
      </c>
      <c r="GH6" s="624">
        <f>SUM([4]A04!$B$24)</f>
        <v>41</v>
      </c>
      <c r="GI6" s="624">
        <f>SUM([5]A04!$B$24)</f>
        <v>70</v>
      </c>
      <c r="GJ6" s="624">
        <f>SUM([6]A04!$B$24)</f>
        <v>52</v>
      </c>
      <c r="GK6" s="624">
        <f>SUM([7]A04!$B$24)</f>
        <v>81</v>
      </c>
      <c r="GL6" s="624">
        <f>SUM([8]A04!$B$24)</f>
        <v>65</v>
      </c>
      <c r="GN6" s="437"/>
      <c r="GO6" s="437"/>
      <c r="GP6" s="437"/>
      <c r="GQ6" s="437"/>
      <c r="GR6" s="262">
        <f>SUM(GF6:GQ6)</f>
        <v>374</v>
      </c>
    </row>
    <row r="7" spans="2:200" x14ac:dyDescent="0.2">
      <c r="B7" s="150">
        <v>107308</v>
      </c>
      <c r="C7" s="151" t="s">
        <v>96</v>
      </c>
      <c r="D7" s="248"/>
      <c r="E7" s="621">
        <f>SUM([9]A05!$H$114,[9]A05!$J$114,[9]A05!$L$114,[9]A05!$N$114,[9]A05!$P$114,[9]A05!$R$114,[9]A05!$T$114,[9]A05!$V$114,[9]A05!$X$114)</f>
        <v>9</v>
      </c>
      <c r="F7" s="621">
        <f>SUM([10]A05!$H$114,[10]A05!$J$114,[10]A05!$L$114,[10]A05!$N$114,[10]A05!$P$114,[10]A05!$R$114,[10]A05!$T$114,[10]A05!$V$114,[10]A05!$X$114)</f>
        <v>2</v>
      </c>
      <c r="G7" s="621">
        <f>SUM([11]A05!$H$114,[11]A05!$J$114,[11]A05!$L$114,[11]A05!$N$114,[11]A05!$P$114,[11]A05!$R$114,[11]A05!$T$114,[11]A05!$V$114,[11]A05!$X$114)</f>
        <v>8</v>
      </c>
      <c r="H7" s="621">
        <f>SUM([12]A05!$H$114,[12]A05!$J$114,[12]A05!$L$114,[12]A05!$N$114,[12]A05!$P$114,[12]A05!$R$114,[12]A05!$T$114,[12]A05!$V$114,[12]A05!$X$114)</f>
        <v>11</v>
      </c>
      <c r="I7" s="621">
        <f>SUM([13]A05!$H$114,[13]A05!$J$114,[13]A05!$L$114,[13]A05!$N$114,[13]A05!$P$114,[13]A05!$R$114,[13]A05!$T$114,[13]A05!$V$114,[13]A05!$X$114)</f>
        <v>10</v>
      </c>
      <c r="J7" s="621">
        <f>SUM([14]A05!$H$114,[14]A05!$J$114,[14]A05!$L$114,[14]A05!$N$114,[14]A05!$P$114,[14]A05!$R$114,[14]A05!$T$114,[14]A05!$V$114,[14]A05!$X$114)</f>
        <v>12</v>
      </c>
      <c r="K7" s="621">
        <f>SUM([15]A05!$H$114,[15]A05!$J$114,[15]A05!$L$114,[15]A05!$N$114,[15]A05!$P$114,[15]A05!$R$114,[15]A05!$T$114,[15]A05!$V$114,[15]A05!$X$114)</f>
        <v>14</v>
      </c>
      <c r="L7" s="274"/>
      <c r="M7" s="621"/>
      <c r="N7" s="621"/>
      <c r="O7" s="621"/>
      <c r="P7" s="621"/>
      <c r="Q7" s="620">
        <f t="shared" ref="Q7:Q12" si="2">SUM(E7:P7)</f>
        <v>66</v>
      </c>
      <c r="R7" s="248"/>
      <c r="S7" s="621">
        <f>SUM([9]A05!$I$114,[9]A05!$K$114,[9]A05!$M$114,[9]A05!$O$114,[9]A05!$Q$114,[9]A05!$S$114,[9]A05!$U$114,[9]A05!$W$114,[9]A05!$Y$114)</f>
        <v>23</v>
      </c>
      <c r="T7" s="621">
        <f>SUM([10]A05!$I$114,[10]A05!$K$114,[10]A05!$M$114,[10]A05!$O$114,[10]A05!$Q$114,[10]A05!$S$114,[10]A05!$U$114,[10]A05!$W$114,[10]A05!$Y$114)</f>
        <v>9</v>
      </c>
      <c r="U7" s="621">
        <f>SUM([11]A05!$I$114,[11]A05!$K$114,[11]A05!$M$114,[11]A05!$O$114,[11]A05!$Q$114,[11]A05!$S$114,[11]A05!$U$114,[11]A05!$W$114,[11]A05!$Y$114)</f>
        <v>12</v>
      </c>
      <c r="V7" s="621">
        <f>SUM([12]A05!$I$114,[12]A05!$K$114,[12]A05!$M$114,[12]A05!$O$114,[12]A05!$Q$114,[12]A05!$S$114,[12]A05!$U$114,[12]A05!$W$114,[12]A05!$Y$114)</f>
        <v>29</v>
      </c>
      <c r="W7" s="621">
        <f>SUM([13]A05!$I$114,[13]A05!$K$114,[13]A05!$M$114,[13]A05!$O$114,[13]A05!$Q$114,[13]A05!$S$114,[13]A05!$U$114,[13]A05!$W$114,[13]A05!$Y$114)</f>
        <v>17</v>
      </c>
      <c r="X7" s="621">
        <f>SUM([14]A05!$I$114,[14]A05!$K$114,[14]A05!$M$114,[14]A05!$O$114,[14]A05!$Q$114,[14]A05!$S$114,[14]A05!$U$114,[14]A05!$W$114,[14]A05!$Y$114)</f>
        <v>26</v>
      </c>
      <c r="Y7" s="621">
        <f>SUM([15]A05!$I$114,[15]A05!$K$114,[15]A05!$M$114,[15]A05!$O$114,[15]A05!$Q$114,[15]A05!$S$114,[15]A05!$U$114,[15]A05!$W$114,[15]A05!$Y$114)</f>
        <v>24</v>
      </c>
      <c r="Z7" s="274"/>
      <c r="AA7" s="621"/>
      <c r="AB7" s="621"/>
      <c r="AC7" s="621"/>
      <c r="AD7" s="621"/>
      <c r="AE7" s="620">
        <f t="shared" ref="AE7:AE12" si="3">SUM(S7:AD7)</f>
        <v>140</v>
      </c>
      <c r="AF7" s="248"/>
      <c r="AG7" s="248"/>
      <c r="AH7" s="621">
        <f>SUM([9]A05!$H$127,[9]A05!$J$127,[9]A05!$L$127,[9]A05!$N$127,[9]A05!$P$127,[9]A05!$R$127,[9]A05!$T$127,[9]A05!$V$127,[9]A05!$X$127)</f>
        <v>2</v>
      </c>
      <c r="AI7" s="621">
        <f>SUM([10]A05!$H$127,[10]A05!$J$127,[10]A05!$L$127,[10]A05!$N$127,[10]A05!$P$127,[10]A05!$R$127,[10]A05!$T$127,[10]A05!$V$127,[10]A05!$X$127)</f>
        <v>0</v>
      </c>
      <c r="AJ7" s="621">
        <f>SUM([11]A05!$H$127,[11]A05!$J$127,[11]A05!$L$127,[11]A05!$N$127,[11]A05!$P$127,[11]A05!$R$127,[11]A05!$T$127,[11]A05!$V$127,[11]A05!$X$127)</f>
        <v>0</v>
      </c>
      <c r="AK7" s="621">
        <f>SUM([12]A05!$H$127,[12]A05!$J$127,[12]A05!$L$127,[12]A05!$N$127,[12]A05!$P$127,[12]A05!$R$127,[12]A05!$T$127,[12]A05!$V$127,[12]A05!$X$127)</f>
        <v>0</v>
      </c>
      <c r="AL7" s="621">
        <f>SUM([13]A05!$H$127,[13]A05!$J$127,[13]A05!$L$127,[13]A05!$N$127,[13]A05!$P$127,[13]A05!$R$127,[13]A05!$T$127,[13]A05!$V$127,[13]A05!$X$127)</f>
        <v>0</v>
      </c>
      <c r="AM7" s="621">
        <f>SUM([14]A05!$H$127,[14]A05!$J$127,[14]A05!$L$127,[14]A05!$N$127,[14]A05!$P$127,[14]A05!$R$127,[14]A05!$T$127,[14]A05!$V$127,[14]A05!$X$127)</f>
        <v>5</v>
      </c>
      <c r="AN7" s="621">
        <f>SUM([15]A05!$H$127,[15]A05!$J$127,[15]A05!$L$127,[15]A05!$N$127,[15]A05!$P$127,[15]A05!$R$127,[15]A05!$T$127,[15]A05!$V$127,[15]A05!$X$127)</f>
        <v>1</v>
      </c>
      <c r="AO7" s="274"/>
      <c r="AP7" s="621"/>
      <c r="AQ7" s="621"/>
      <c r="AR7" s="621"/>
      <c r="AS7" s="621"/>
      <c r="AT7" s="620">
        <f t="shared" ref="AT7:AT12" si="4">SUM(AH7:AS7)</f>
        <v>8</v>
      </c>
      <c r="AU7" s="256"/>
      <c r="AV7" s="621">
        <f>SUM([9]A05!$I$127,[9]A05!$K$127,[9]A05!$M$127,[9]A05!$O$127,[9]A05!$Q$127,[9]A05!$S$127,[9]A05!$U$127,[9]A05!$W$127,[9]A05!$Y$127)</f>
        <v>2</v>
      </c>
      <c r="AW7" s="621">
        <f>SUM([10]A05!$I$127,[10]A05!$K$127,[10]A05!$M$127,[10]A05!$O$127,[10]A05!$Q$127,[10]A05!$S$127,[10]A05!$U$127,[10]A05!$W$127,[10]A05!$Y$127)</f>
        <v>0</v>
      </c>
      <c r="AX7" s="621">
        <f>SUM([11]A05!$I$127,[11]A05!$K$127,[11]A05!$M$127,[11]A05!$O$127,[11]A05!$Q$127,[11]A05!$S$127,[11]A05!$U$127,[11]A05!$W$127,[11]A05!$Y$127)</f>
        <v>1</v>
      </c>
      <c r="AY7" s="621">
        <f>SUM([12]A05!$I$127,[12]A05!$K$127,[12]A05!$M$127,[12]A05!$O$127,[12]A05!$Q$127,[12]A05!$S$127,[12]A05!$U$127,[12]A05!$W$127,[12]A05!$Y$127)</f>
        <v>0</v>
      </c>
      <c r="AZ7" s="621">
        <f>SUM([13]A05!$I$127,[13]A05!$K$127,[13]A05!$M$127,[13]A05!$O$127,[13]A05!$Q$127,[13]A05!$S$127,[13]A05!$U$127,[13]A05!$W$127,[13]A05!$Y$127)</f>
        <v>2</v>
      </c>
      <c r="BA7" s="621">
        <f>SUM([14]A05!$I$127,[14]A05!$K$127,[14]A05!$M$127,[14]A05!$O$127,[14]A05!$Q$127,[14]A05!$S$127,[14]A05!$U$127,[14]A05!$W$127,[14]A05!$Y$127)</f>
        <v>8</v>
      </c>
      <c r="BB7" s="621">
        <f>SUM([15]A05!$I$127,[15]A05!$K$127,[15]A05!$M$127,[15]A05!$O$127,[15]A05!$Q$127,[15]A05!$S$127,[15]A05!$U$127,[15]A05!$W$127,[15]A05!$Y$127)</f>
        <v>2</v>
      </c>
      <c r="BC7" s="274"/>
      <c r="BD7" s="621"/>
      <c r="BE7" s="621"/>
      <c r="BF7" s="621"/>
      <c r="BG7" s="621"/>
      <c r="BH7" s="620">
        <f t="shared" ref="BH7:BH12" si="5">SUM(AV7:BG7)</f>
        <v>15</v>
      </c>
      <c r="BI7" s="256"/>
      <c r="BJ7" s="621">
        <f>[9]A05!$C$186</f>
        <v>66</v>
      </c>
      <c r="BK7" s="621">
        <f>[10]A05!$C$186</f>
        <v>47</v>
      </c>
      <c r="BL7" s="621">
        <f>[11]A05!$C$186</f>
        <v>83</v>
      </c>
      <c r="BM7" s="621">
        <f>[12]A05!$C$186</f>
        <v>58</v>
      </c>
      <c r="BN7" s="621">
        <f>[13]A05!$C$186</f>
        <v>93</v>
      </c>
      <c r="BO7" s="621">
        <f>[14]A05!$C$186</f>
        <v>75</v>
      </c>
      <c r="BP7" s="621">
        <f>[15]A05!$C$186</f>
        <v>73</v>
      </c>
      <c r="BQ7" s="274"/>
      <c r="BR7" s="621"/>
      <c r="BS7" s="621"/>
      <c r="BT7" s="621"/>
      <c r="BU7" s="621"/>
      <c r="BV7" s="620">
        <f t="shared" ref="BV7:BV12" si="6">SUM(BJ7:BU7)</f>
        <v>495</v>
      </c>
      <c r="BW7" s="256"/>
      <c r="BX7" s="611">
        <f>SUM([9]A05!$C$234,[9]A05!$AN$241,[9]A05!$AO$241,[9]A05!$AP$241)</f>
        <v>0</v>
      </c>
      <c r="BY7" s="611">
        <f>SUM([10]A05!$C$234,[10]A05!$AN$241,[10]A05!$AO$241,[10]A05!$AP$241)</f>
        <v>30</v>
      </c>
      <c r="BZ7" s="611">
        <f>SUM([11]A05!$C$234,[11]A05!$AN$241,[11]A05!$AO$241,[11]A05!$AP$241)</f>
        <v>69</v>
      </c>
      <c r="CA7" s="611">
        <f>SUM([12]A05!$C$234,[12]A05!$AN$241,[12]A05!$AO$241,[12]A05!$AP$241)</f>
        <v>76</v>
      </c>
      <c r="CB7" s="611">
        <f>SUM([13]A05!$C$234,[13]A05!$AN$241,[13]A05!$AO$241,[13]A05!$AP$241)</f>
        <v>121</v>
      </c>
      <c r="CC7" s="611">
        <f>SUM([14]A05!$C$234,[14]A05!$AN$241,[14]A05!$AO$241,[14]A05!$AP$241)</f>
        <v>62</v>
      </c>
      <c r="CD7" s="611">
        <f>SUM([15]A05!$C$234,[15]A05!$AN$241,[15]A05!$AO$241,[15]A05!$AP$241)</f>
        <v>42</v>
      </c>
      <c r="CE7" s="256"/>
      <c r="CF7" s="434"/>
      <c r="CG7" s="434"/>
      <c r="CH7" s="434"/>
      <c r="CI7" s="434"/>
      <c r="CJ7" s="262">
        <f t="shared" ref="CJ7:CJ12" si="7">SUM(BX7:CI7)</f>
        <v>400</v>
      </c>
      <c r="CK7" s="256"/>
      <c r="CL7" s="611">
        <f>SUM([9]A09!$G$12:$AB$12)</f>
        <v>132</v>
      </c>
      <c r="CM7" s="611">
        <f>SUM([10]A09!$G$12:$AB$12)</f>
        <v>79</v>
      </c>
      <c r="CN7" s="611">
        <f>SUM([11]A09!$G$12:$AB$12)</f>
        <v>124</v>
      </c>
      <c r="CO7" s="611">
        <f>SUM([12]A09!$G$12:$AB$12)</f>
        <v>129</v>
      </c>
      <c r="CP7" s="611">
        <f>SUM([13]A09!$G$12:$AB$12)</f>
        <v>131</v>
      </c>
      <c r="CQ7" s="611">
        <f>SUM([14]A09!$G$12:$AB$12)</f>
        <v>69</v>
      </c>
      <c r="CR7" s="611">
        <f>SUM([15]A09!$G$12:$AB$12)</f>
        <v>157</v>
      </c>
      <c r="CS7" s="256"/>
      <c r="CT7" s="434"/>
      <c r="CU7" s="434"/>
      <c r="CV7" s="434"/>
      <c r="CW7" s="434"/>
      <c r="CX7" s="262">
        <f t="shared" ref="CX7:CX12" si="8">SUM(CL7:CW7)</f>
        <v>821</v>
      </c>
      <c r="CY7" s="256"/>
      <c r="CZ7" s="611">
        <f>SUM([9]A09!$G$48:$L$48)</f>
        <v>25</v>
      </c>
      <c r="DA7" s="611">
        <f>SUM([10]A09!$G$48:$L$48)</f>
        <v>14</v>
      </c>
      <c r="DB7" s="611">
        <f>SUM([11]A09!$G$48:$L$48)</f>
        <v>23</v>
      </c>
      <c r="DC7" s="611">
        <f>SUM([12]A09!$G$48:$L$48)</f>
        <v>18</v>
      </c>
      <c r="DD7" s="611">
        <f>SUM([13]A09!$G$48:$L$48)</f>
        <v>14</v>
      </c>
      <c r="DE7" s="611">
        <f>SUM([14]A09!$G$48:$L$48)</f>
        <v>18</v>
      </c>
      <c r="DF7" s="611">
        <f>SUM([15]A09!$G$48:$L$48)</f>
        <v>24</v>
      </c>
      <c r="DG7" s="256"/>
      <c r="DH7" s="434"/>
      <c r="DI7" s="434"/>
      <c r="DJ7" s="434"/>
      <c r="DK7" s="434"/>
      <c r="DL7" s="262">
        <f t="shared" ref="DL7:DL12" si="9">SUM(CZ7:DK7)</f>
        <v>136</v>
      </c>
      <c r="DM7" s="287"/>
      <c r="DN7" s="436">
        <f>+EB7+EP7+FD7+FR7+GF7</f>
        <v>623</v>
      </c>
      <c r="DO7" s="436">
        <f t="shared" si="0"/>
        <v>534</v>
      </c>
      <c r="DP7" s="436">
        <f t="shared" si="0"/>
        <v>805</v>
      </c>
      <c r="DQ7" s="436">
        <f t="shared" si="0"/>
        <v>742</v>
      </c>
      <c r="DR7" s="436">
        <f t="shared" si="0"/>
        <v>904</v>
      </c>
      <c r="DS7" s="436">
        <f t="shared" si="0"/>
        <v>706</v>
      </c>
      <c r="DT7" s="436">
        <f t="shared" si="0"/>
        <v>973</v>
      </c>
      <c r="DU7" s="436">
        <f t="shared" si="0"/>
        <v>0</v>
      </c>
      <c r="DV7" s="436">
        <f t="shared" ref="DV7:DV12" si="10">+EJ7+EX7+FL7+FZ7+GN7</f>
        <v>0</v>
      </c>
      <c r="DW7" s="436">
        <f t="shared" ref="DW7:DW12" si="11">+EK7+EY7+FM7+GA7+GO7</f>
        <v>0</v>
      </c>
      <c r="DX7" s="436">
        <f t="shared" ref="DX7:DX12" si="12">+EL7+EZ7+FN7+GB7+GP7</f>
        <v>0</v>
      </c>
      <c r="DY7" s="436">
        <f t="shared" si="1"/>
        <v>0</v>
      </c>
      <c r="DZ7" s="262">
        <f t="shared" ref="DZ7:DZ12" si="13">SUM(DN7:DY7)</f>
        <v>5287</v>
      </c>
      <c r="EA7" s="256"/>
      <c r="EB7" s="623">
        <f>SUM([9]A06!$C$22:$C$23,[9]A06!$E$32)</f>
        <v>521</v>
      </c>
      <c r="EC7" s="623">
        <f>SUM([10]A06!$C$22:$C$23,[10]A06!$E$32)</f>
        <v>447</v>
      </c>
      <c r="ED7" s="623">
        <f>SUM([11]A06!$C$22:$C$23,[11]A06!$E$32)</f>
        <v>699</v>
      </c>
      <c r="EE7" s="623">
        <f>SUM([12]A06!$C$22:$C$23,[12]A06!$E$32)</f>
        <v>655</v>
      </c>
      <c r="EF7" s="623">
        <f>SUM([13]A06!$C$22:$C$23,[13]A06!$E$32)</f>
        <v>777</v>
      </c>
      <c r="EG7" s="623">
        <f>SUM([14]A06!$C$22:$C$23,[14]A06!$E$32)</f>
        <v>637</v>
      </c>
      <c r="EH7" s="623">
        <f>SUM([15]A06!$C$22:$C$23,[15]A06!$E$32)</f>
        <v>865</v>
      </c>
      <c r="EJ7" s="437"/>
      <c r="EK7" s="437"/>
      <c r="EL7" s="437"/>
      <c r="EM7" s="437"/>
      <c r="EN7" s="262">
        <f t="shared" ref="EN7:EN12" si="14">SUM(EB7:EM7)</f>
        <v>4601</v>
      </c>
      <c r="EP7" s="624">
        <f>SUM([9]A19a!$C$97,$C$99)</f>
        <v>0</v>
      </c>
      <c r="EQ7" s="624">
        <f>SUM([10]A19a!$C$97,$C$99)</f>
        <v>0</v>
      </c>
      <c r="ER7" s="624">
        <f>SUM([11]A19a!$C$97,$C$99)</f>
        <v>0</v>
      </c>
      <c r="ES7" s="624">
        <f>SUM([12]A19a!$C$97,$C$99)</f>
        <v>0</v>
      </c>
      <c r="ET7" s="624">
        <f>SUM([13]A19a!$C$97,$C$99)</f>
        <v>0</v>
      </c>
      <c r="EU7" s="624">
        <f>SUM([14]A19a!$C$97,$C$99)</f>
        <v>0</v>
      </c>
      <c r="EV7" s="624">
        <f>SUM([15]A19a!$C$97,$C$99)</f>
        <v>0</v>
      </c>
      <c r="EX7" s="437"/>
      <c r="EY7" s="437"/>
      <c r="EZ7" s="437"/>
      <c r="FA7" s="437"/>
      <c r="FB7" s="262">
        <f t="shared" ref="FB7:FB12" si="15">SUM(EP7:FA7)</f>
        <v>0</v>
      </c>
      <c r="FD7" s="624">
        <f>SUM([9]A26!$C$30:$C$31,[9]A26!$C$38:$E$38)</f>
        <v>7</v>
      </c>
      <c r="FE7" s="624">
        <f>SUM([10]A26!$C$30:$C$31,[10]A26!$C$38:$E$38)</f>
        <v>1</v>
      </c>
      <c r="FF7" s="624">
        <f>SUM([11]A26!$C$30:$C$31,[11]A26!$C$38:$E$38)</f>
        <v>4</v>
      </c>
      <c r="FG7" s="624">
        <f>SUM([12]A26!$C$30:$C$31,[12]A26!$C$38:$E$38)</f>
        <v>0</v>
      </c>
      <c r="FH7" s="624">
        <f>SUM([13]A26!$C$30:$C$31,[13]A26!$C$38:$E$38)</f>
        <v>4</v>
      </c>
      <c r="FI7" s="624">
        <f>SUM([14]A26!$C$30:$C$31,[14]A26!$C$38:$E$38)</f>
        <v>1</v>
      </c>
      <c r="FJ7" s="624">
        <f>SUM([15]A26!$C$30:$C$31,[15]A26!$C$38:$E$38)</f>
        <v>2</v>
      </c>
      <c r="FL7" s="437"/>
      <c r="FM7" s="437"/>
      <c r="FN7" s="437"/>
      <c r="FO7" s="437"/>
      <c r="FP7" s="262">
        <f t="shared" ref="FP7:FP12" si="16">SUM(FD7:FO7)</f>
        <v>19</v>
      </c>
      <c r="FR7" s="624">
        <f>SUM([9]A32!$B$127:$B$129,[9]A32!$C$144,[9]A32!$C$155)</f>
        <v>0</v>
      </c>
      <c r="FS7" s="624">
        <f>SUM([10]A32!$B$127:$B$129,[10]A32!$C$144,[10]A32!$C$155)</f>
        <v>0</v>
      </c>
      <c r="FT7" s="624">
        <f>SUM([11]A32!$B$127:$B$129,[11]A32!$C$144,[11]A32!$C$155)</f>
        <v>1</v>
      </c>
      <c r="FU7" s="624">
        <f>SUM([12]A32!$B$127:$B$129,[12]A32!$C$144,[12]A32!$C$155)</f>
        <v>0</v>
      </c>
      <c r="FV7" s="624">
        <f>SUM([13]A32!$B$127:$B$129,[13]A32!$C$144,[13]A32!$C$155)</f>
        <v>45</v>
      </c>
      <c r="FW7" s="624">
        <f>SUM([14]A32!$B$127:$B$129,[14]A32!$C$144,[14]A32!$C$155)</f>
        <v>0</v>
      </c>
      <c r="FX7" s="624">
        <f>SUM([15]A32!$B$127:$B$129,[15]A32!$C$144,[15]A32!$C$155)</f>
        <v>30</v>
      </c>
      <c r="FZ7" s="437"/>
      <c r="GA7" s="437"/>
      <c r="GB7" s="437"/>
      <c r="GC7" s="437"/>
      <c r="GD7" s="262">
        <f t="shared" ref="GD7:GD12" si="17">SUM(FR7:GC7)</f>
        <v>76</v>
      </c>
      <c r="GF7" s="624">
        <f>SUM([9]A04!$B$24)</f>
        <v>95</v>
      </c>
      <c r="GG7" s="624">
        <f>SUM([10]A04!$B$24)</f>
        <v>86</v>
      </c>
      <c r="GH7" s="624">
        <f>SUM([11]A04!$B$24)</f>
        <v>101</v>
      </c>
      <c r="GI7" s="624">
        <f>SUM([12]A04!$B$24)</f>
        <v>87</v>
      </c>
      <c r="GJ7" s="624">
        <f>SUM([13]A04!$B$24)</f>
        <v>78</v>
      </c>
      <c r="GK7" s="624">
        <f>SUM([14]A04!$B$24)</f>
        <v>68</v>
      </c>
      <c r="GL7" s="624">
        <f>SUM([15]A04!$B$24)</f>
        <v>76</v>
      </c>
      <c r="GN7" s="437"/>
      <c r="GO7" s="437"/>
      <c r="GP7" s="437"/>
      <c r="GQ7" s="437"/>
      <c r="GR7" s="262">
        <f t="shared" ref="GR7:GR12" si="18">SUM(GF7:GQ7)</f>
        <v>591</v>
      </c>
    </row>
    <row r="8" spans="2:200" x14ac:dyDescent="0.2">
      <c r="B8" s="150">
        <v>107353</v>
      </c>
      <c r="C8" s="151" t="s">
        <v>97</v>
      </c>
      <c r="D8" s="248"/>
      <c r="E8" s="790">
        <f>SUM([16]A05!$H$114,[16]A05!$J$114,[16]A05!$L$114,[16]A05!$N$114,[16]A05!$P$114,[16]A05!$R$114,[16]A05!$T$114,[16]A05!$V$114,[16]A05!$X$114)</f>
        <v>2</v>
      </c>
      <c r="F8" s="621">
        <f>SUM([17]A05!$H$114,[17]A05!$J$114,[17]A05!$L$114,[17]A05!$N$114,[17]A05!$P$114,[17]A05!$R$114,[17]A05!$T$114,[17]A05!$V$114,[17]A05!$X$114)</f>
        <v>4</v>
      </c>
      <c r="G8" s="621">
        <f>SUM([18]A05!$H$114,[18]A05!$J$114,[18]A05!$L$114,[18]A05!$N$114,[18]A05!$P$114,[18]A05!$R$114,[18]A05!$T$114,[18]A05!$V$114,[18]A05!$X$114)</f>
        <v>0</v>
      </c>
      <c r="H8" s="621">
        <f>SUM([19]A05!$H$114,[19]A05!$J$114,[19]A05!$L$114,[19]A05!$N$114,[19]A05!$P$114,[19]A05!$R$114,[19]A05!$T$114,[19]A05!$V$114,[19]A05!$X$114)</f>
        <v>5</v>
      </c>
      <c r="I8" s="621">
        <f>SUM([20]A05!$H$114,[20]A05!$J$114,[20]A05!$L$114,[20]A05!$N$114,[20]A05!$P$114,[20]A05!$R$114,[20]A05!$T$114,[20]A05!$V$114,[20]A05!$X$114)</f>
        <v>2</v>
      </c>
      <c r="J8" s="621">
        <f>SUM([21]A05!$H$114,[21]A05!$J$114,[21]A05!$L$114,[21]A05!$N$114,[21]A05!$P$114,[21]A05!$R$114,[21]A05!$T$114,[21]A05!$V$114,[21]A05!$X$114)</f>
        <v>12</v>
      </c>
      <c r="K8" s="621">
        <f>SUM([22]A05!$H$114,[22]A05!$J$114,[22]A05!$L$114,[22]A05!$N$114,[22]A05!$P$114,[22]A05!$R$114,[22]A05!$T$114,[22]A05!$V$114,[22]A05!$X$114)</f>
        <v>9</v>
      </c>
      <c r="L8" s="274"/>
      <c r="M8" s="621"/>
      <c r="N8" s="621"/>
      <c r="O8" s="621"/>
      <c r="P8" s="621"/>
      <c r="Q8" s="620">
        <f t="shared" si="2"/>
        <v>34</v>
      </c>
      <c r="R8" s="248"/>
      <c r="S8" s="790">
        <f>SUM([16]A05!$I$114,[16]A05!$K$114,[16]A05!$M$114,[16]A05!$O$114,[16]A05!$Q$114,[16]A05!$S$114,[16]A05!$U$114,[16]A05!$W$114,[16]A05!$Y$114)</f>
        <v>12</v>
      </c>
      <c r="T8" s="621">
        <f>SUM([17]A05!$I$114,[17]A05!$K$114,[17]A05!$M$114,[17]A05!$O$114,[17]A05!$Q$114,[17]A05!$S$114,[17]A05!$U$114,[17]A05!$W$114,[17]A05!$Y$114)</f>
        <v>7</v>
      </c>
      <c r="U8" s="621">
        <f>SUM([18]A05!$I$114,[18]A05!$K$114,[18]A05!$M$114,[18]A05!$O$114,[18]A05!$Q$114,[18]A05!$S$114,[18]A05!$U$114,[18]A05!$W$114,[18]A05!$Y$114)</f>
        <v>2</v>
      </c>
      <c r="V8" s="621">
        <f>SUM([19]A05!$I$114,[19]A05!$K$114,[19]A05!$M$114,[19]A05!$O$114,[19]A05!$Q$114,[19]A05!$S$114,[19]A05!$U$114,[19]A05!$W$114,[19]A05!$Y$114)</f>
        <v>4</v>
      </c>
      <c r="W8" s="621">
        <f>SUM([20]A05!$I$114,[20]A05!$K$114,[20]A05!$M$114,[20]A05!$O$114,[20]A05!$Q$114,[20]A05!$S$114,[20]A05!$U$114,[20]A05!$W$114,[20]A05!$Y$114)</f>
        <v>6</v>
      </c>
      <c r="X8" s="621">
        <f>SUM([21]A05!$I$114,[21]A05!$K$114,[21]A05!$M$114,[21]A05!$O$114,[21]A05!$Q$114,[21]A05!$S$114,[21]A05!$U$114,[21]A05!$W$114,[21]A05!$Y$114)</f>
        <v>17</v>
      </c>
      <c r="Y8" s="621">
        <f>SUM([22]A05!$I$114,[22]A05!$K$114,[22]A05!$M$114,[22]A05!$O$114,[22]A05!$Q$114,[22]A05!$S$114,[22]A05!$U$114,[22]A05!$W$114,[22]A05!$Y$114)</f>
        <v>21</v>
      </c>
      <c r="Z8" s="274"/>
      <c r="AA8" s="621"/>
      <c r="AB8" s="621"/>
      <c r="AC8" s="621"/>
      <c r="AD8" s="621"/>
      <c r="AE8" s="620">
        <f t="shared" si="3"/>
        <v>69</v>
      </c>
      <c r="AF8" s="248"/>
      <c r="AG8" s="248"/>
      <c r="AH8" s="790">
        <f>SUM([16]A05!$H$127,[16]A05!$J$127,[16]A05!$L$127,[16]A05!$N$127,[16]A05!$P$127,[16]A05!$R$127,[16]A05!$T$127,[16]A05!$V$127,[16]A05!$X$127)</f>
        <v>3</v>
      </c>
      <c r="AI8" s="621">
        <f>SUM([17]A05!$H$127,[17]A05!$J$127,[17]A05!$L$127,[17]A05!$N$127,[17]A05!$P$127,[17]A05!$R$127,[17]A05!$T$127,[17]A05!$V$127,[17]A05!$X$127)</f>
        <v>0</v>
      </c>
      <c r="AJ8" s="621">
        <f>SUM([18]A05!$H$127,[18]A05!$J$127,[18]A05!$L$127,[18]A05!$N$127,[18]A05!$P$127,[18]A05!$R$127,[18]A05!$T$127,[18]A05!$V$127,[18]A05!$X$127)</f>
        <v>0</v>
      </c>
      <c r="AK8" s="621">
        <f>SUM([19]A05!$H$127,[19]A05!$J$127,[19]A05!$L$127,[19]A05!$N$127,[19]A05!$P$127,[19]A05!$R$127,[19]A05!$T$127,[19]A05!$V$127,[19]A05!$X$127)</f>
        <v>0</v>
      </c>
      <c r="AL8" s="621">
        <f>SUM([20]A05!$H$127,[20]A05!$J$127,[20]A05!$L$127,[20]A05!$N$127,[20]A05!$P$127,[20]A05!$R$127,[20]A05!$T$127,[20]A05!$V$127,[20]A05!$X$127)</f>
        <v>1</v>
      </c>
      <c r="AM8" s="621">
        <f>SUM([21]A05!$H$127,[21]A05!$J$127,[21]A05!$L$127,[21]A05!$N$127,[21]A05!$P$127,[21]A05!$R$127,[21]A05!$T$127,[21]A05!$V$127,[21]A05!$X$127)</f>
        <v>0</v>
      </c>
      <c r="AN8" s="621">
        <f>SUM([22]A05!$H$127,[22]A05!$J$127,[22]A05!$L$127,[22]A05!$N$127,[22]A05!$P$127,[22]A05!$R$127,[22]A05!$T$127,[22]A05!$V$127,[22]A05!$X$127)</f>
        <v>1</v>
      </c>
      <c r="AO8" s="274"/>
      <c r="AP8" s="621"/>
      <c r="AQ8" s="621"/>
      <c r="AR8" s="621"/>
      <c r="AS8" s="621"/>
      <c r="AT8" s="620">
        <f t="shared" si="4"/>
        <v>5</v>
      </c>
      <c r="AU8" s="256"/>
      <c r="AV8" s="790">
        <f>SUM([16]A05!$I$127,[16]A05!$K$127,[16]A05!$M$127,[16]A05!$O$127,[16]A05!$Q$127,[16]A05!$S$127,[16]A05!$U$127,[16]A05!$W$127,[16]A05!$Y$127)</f>
        <v>3</v>
      </c>
      <c r="AW8" s="621">
        <f>SUM([17]A05!$I$127,[17]A05!$K$127,[17]A05!$M$127,[17]A05!$O$127,[17]A05!$Q$127,[17]A05!$S$127,[17]A05!$U$127,[17]A05!$W$127,[17]A05!$Y$127)</f>
        <v>0</v>
      </c>
      <c r="AX8" s="621">
        <f>SUM([18]A05!$I$127,[18]A05!$K$127,[18]A05!$M$127,[18]A05!$O$127,[18]A05!$Q$127,[18]A05!$S$127,[18]A05!$U$127,[18]A05!$W$127,[18]A05!$Y$127)</f>
        <v>0</v>
      </c>
      <c r="AY8" s="621">
        <f>SUM([19]A05!$I$127,[19]A05!$K$127,[19]A05!$M$127,[19]A05!$O$127,[19]A05!$Q$127,[19]A05!$S$127,[19]A05!$U$127,[19]A05!$W$127,[19]A05!$Y$127)</f>
        <v>0</v>
      </c>
      <c r="AZ8" s="621">
        <f>SUM([20]A05!$I$127,[20]A05!$K$127,[20]A05!$M$127,[20]A05!$O$127,[20]A05!$Q$127,[20]A05!$S$127,[20]A05!$U$127,[20]A05!$W$127,[20]A05!$Y$127)</f>
        <v>3</v>
      </c>
      <c r="BA8" s="621">
        <f>SUM([21]A05!$I$127,[21]A05!$K$127,[21]A05!$M$127,[21]A05!$O$127,[21]A05!$Q$127,[21]A05!$S$127,[21]A05!$U$127,[21]A05!$W$127,[21]A05!$Y$127)</f>
        <v>1</v>
      </c>
      <c r="BB8" s="621">
        <f>SUM([22]A05!$I$127,[22]A05!$K$127,[22]A05!$M$127,[22]A05!$O$127,[22]A05!$Q$127,[22]A05!$S$127,[22]A05!$U$127,[22]A05!$W$127,[22]A05!$Y$127)</f>
        <v>1</v>
      </c>
      <c r="BC8" s="274"/>
      <c r="BD8" s="621"/>
      <c r="BE8" s="621"/>
      <c r="BF8" s="621"/>
      <c r="BG8" s="621"/>
      <c r="BH8" s="803">
        <f t="shared" si="5"/>
        <v>8</v>
      </c>
      <c r="BI8" s="256"/>
      <c r="BJ8" s="621">
        <f>[16]A05!$C$186</f>
        <v>126</v>
      </c>
      <c r="BK8" s="621">
        <f>[17]A05!$C$186</f>
        <v>53</v>
      </c>
      <c r="BL8" s="621">
        <f>[18]A05!$C$186</f>
        <v>106</v>
      </c>
      <c r="BM8" s="621">
        <f>[19]A05!$C$186</f>
        <v>74</v>
      </c>
      <c r="BN8" s="621">
        <f>[20]A05!$C$186</f>
        <v>77</v>
      </c>
      <c r="BO8" s="621">
        <f>[21]A05!$C$186</f>
        <v>79</v>
      </c>
      <c r="BP8" s="621">
        <f>[22]A05!$C$186</f>
        <v>91</v>
      </c>
      <c r="BQ8" s="274"/>
      <c r="BR8" s="621"/>
      <c r="BS8" s="621"/>
      <c r="BT8" s="621"/>
      <c r="BU8" s="621"/>
      <c r="BV8" s="620">
        <f t="shared" si="6"/>
        <v>606</v>
      </c>
      <c r="BW8" s="256"/>
      <c r="BX8" s="611">
        <f>SUM([16]A05!$C$234,[16]A05!$AN$241,[16]A05!$AO$241,[16]A05!$AP$241)</f>
        <v>60</v>
      </c>
      <c r="BY8" s="611">
        <f>SUM([17]A05!$C$234,[17]A05!$AN$241,[17]A05!$AO$241,[17]A05!$AP$241)</f>
        <v>12</v>
      </c>
      <c r="BZ8" s="611">
        <f>SUM([18]A05!$C$234,[18]A05!$AN$241,[18]A05!$AO$241,[18]A05!$AP$241)</f>
        <v>112</v>
      </c>
      <c r="CA8" s="611">
        <f>SUM([19]A05!$C$234,[19]A05!$AN$241,[19]A05!$AO$241,[19]A05!$AP$241)</f>
        <v>67</v>
      </c>
      <c r="CB8" s="611">
        <f>SUM([20]A05!$C$234,[20]A05!$AN$241,[20]A05!$AO$241,[20]A05!$AP$241)</f>
        <v>12</v>
      </c>
      <c r="CC8" s="611">
        <f>SUM([21]A05!$C$234,[21]A05!$AN$241,[21]A05!$AO$241,[21]A05!$AP$241)</f>
        <v>98</v>
      </c>
      <c r="CD8" s="611">
        <f>SUM([22]A05!$C$234,[22]A05!$AN$241,[22]A05!$AO$241,[22]A05!$AP$241)</f>
        <v>9</v>
      </c>
      <c r="CE8" s="256"/>
      <c r="CF8" s="434"/>
      <c r="CG8" s="434"/>
      <c r="CH8" s="434"/>
      <c r="CI8" s="434"/>
      <c r="CJ8" s="262">
        <f t="shared" si="7"/>
        <v>370</v>
      </c>
      <c r="CK8" s="256"/>
      <c r="CL8" s="611">
        <f>SUM([16]A09!$G$12:$AB$12)</f>
        <v>115</v>
      </c>
      <c r="CM8" s="611">
        <f>SUM([17]A09!$G$12:$AB$12)</f>
        <v>75</v>
      </c>
      <c r="CN8" s="611">
        <f>SUM([18]A09!$G$12:$AB$12)</f>
        <v>114</v>
      </c>
      <c r="CO8" s="611">
        <f>SUM([19]A09!$G$12:$AB$12)</f>
        <v>95</v>
      </c>
      <c r="CP8" s="611">
        <f>SUM([20]A09!$G$12:$AB$12)</f>
        <v>144</v>
      </c>
      <c r="CQ8" s="611">
        <f>SUM([21]A09!$G$12:$AB$12)</f>
        <v>156</v>
      </c>
      <c r="CR8" s="611">
        <f>SUM([22]A09!$G$12:$AB$12)</f>
        <v>141</v>
      </c>
      <c r="CS8" s="256"/>
      <c r="CT8" s="434"/>
      <c r="CU8" s="434"/>
      <c r="CV8" s="434"/>
      <c r="CW8" s="434"/>
      <c r="CX8" s="262">
        <f t="shared" si="8"/>
        <v>840</v>
      </c>
      <c r="CY8" s="256"/>
      <c r="CZ8" s="611">
        <f>SUM([16]A09!$G$48:$L$48)</f>
        <v>26</v>
      </c>
      <c r="DA8" s="611">
        <f>SUM([17]A09!$G$48:$L$48)</f>
        <v>22</v>
      </c>
      <c r="DB8" s="611">
        <f>SUM([18]A09!$G$48:$L$48)</f>
        <v>38</v>
      </c>
      <c r="DC8" s="611">
        <f>SUM([19]A09!$G$48:$L$48)</f>
        <v>29</v>
      </c>
      <c r="DD8" s="611">
        <f>SUM([20]A09!$G$48:$L$48)</f>
        <v>30</v>
      </c>
      <c r="DE8" s="611">
        <f>SUM([21]A09!$G$48:$L$48)</f>
        <v>22</v>
      </c>
      <c r="DF8" s="611">
        <f>SUM([22]A09!$G$48:$L$48)</f>
        <v>14</v>
      </c>
      <c r="DG8" s="256"/>
      <c r="DH8" s="434"/>
      <c r="DI8" s="434"/>
      <c r="DJ8" s="434"/>
      <c r="DK8" s="434"/>
      <c r="DL8" s="262">
        <f t="shared" si="9"/>
        <v>181</v>
      </c>
      <c r="DM8" s="287"/>
      <c r="DN8" s="802">
        <f t="shared" si="0"/>
        <v>583</v>
      </c>
      <c r="DO8" s="436">
        <f t="shared" si="0"/>
        <v>305</v>
      </c>
      <c r="DP8" s="436">
        <f t="shared" si="0"/>
        <v>474</v>
      </c>
      <c r="DQ8" s="436">
        <f t="shared" si="0"/>
        <v>466</v>
      </c>
      <c r="DR8" s="436">
        <f t="shared" si="0"/>
        <v>449</v>
      </c>
      <c r="DS8" s="436">
        <f t="shared" si="0"/>
        <v>413</v>
      </c>
      <c r="DT8" s="436">
        <f t="shared" si="0"/>
        <v>628</v>
      </c>
      <c r="DU8" s="436">
        <f t="shared" si="0"/>
        <v>0</v>
      </c>
      <c r="DV8" s="436">
        <f t="shared" si="10"/>
        <v>0</v>
      </c>
      <c r="DW8" s="436">
        <f t="shared" si="11"/>
        <v>0</v>
      </c>
      <c r="DX8" s="436">
        <f t="shared" si="12"/>
        <v>0</v>
      </c>
      <c r="DY8" s="436">
        <f t="shared" si="1"/>
        <v>0</v>
      </c>
      <c r="DZ8" s="262">
        <f t="shared" si="13"/>
        <v>3318</v>
      </c>
      <c r="EA8" s="256"/>
      <c r="EB8" s="623">
        <f>SUM([16]A06!$C$22:$C$23,[16]A06!$E$32)</f>
        <v>516</v>
      </c>
      <c r="EC8" s="623">
        <f>SUM([17]A06!$C$22:$C$23,[17]A06!$E$32)</f>
        <v>261</v>
      </c>
      <c r="ED8" s="623">
        <f>SUM([18]A06!$C$22:$C$23,[18]A06!$E$32)</f>
        <v>407</v>
      </c>
      <c r="EE8" s="623">
        <f>SUM([19]A06!$C$22:$C$23,[19]A06!$E$32)</f>
        <v>370</v>
      </c>
      <c r="EF8" s="623">
        <f>SUM([20]A06!$C$22:$C$23,[20]A06!$E$32)</f>
        <v>365</v>
      </c>
      <c r="EG8" s="623">
        <f>SUM([21]A06!$C$22:$C$23,[21]A06!$E$32)</f>
        <v>320</v>
      </c>
      <c r="EH8" s="623">
        <f>SUM([22]A06!$C$22:$C$23,[22]A06!$E$32)</f>
        <v>499</v>
      </c>
      <c r="EJ8" s="437"/>
      <c r="EK8" s="437"/>
      <c r="EL8" s="437"/>
      <c r="EM8" s="437"/>
      <c r="EN8" s="262">
        <f t="shared" si="14"/>
        <v>2738</v>
      </c>
      <c r="EP8" s="624">
        <f>SUM([16]A19a!$C$97,$C$99)</f>
        <v>0</v>
      </c>
      <c r="EQ8" s="624">
        <f>SUM([17]A19a!$C$97,$C$99)</f>
        <v>0</v>
      </c>
      <c r="ER8" s="624">
        <f>SUM([18]A19a!$C$97,$C$99)</f>
        <v>0</v>
      </c>
      <c r="ES8" s="624">
        <f>SUM([19]A19a!$C$97,$C$99)</f>
        <v>0</v>
      </c>
      <c r="ET8" s="624">
        <f>SUM([20]A19a!$C$97,$C$99)</f>
        <v>0</v>
      </c>
      <c r="EU8" s="624">
        <f>SUM([21]A19a!$C$97,$C$99)</f>
        <v>0</v>
      </c>
      <c r="EV8" s="624">
        <f>SUM([22]A19a!$C$97,$C$99)</f>
        <v>0</v>
      </c>
      <c r="EX8" s="437"/>
      <c r="EY8" s="437"/>
      <c r="EZ8" s="437"/>
      <c r="FA8" s="437"/>
      <c r="FB8" s="262">
        <f t="shared" si="15"/>
        <v>0</v>
      </c>
      <c r="FD8" s="801">
        <f>SUM([16]A26!$C$30:$C$31,[16]A26!$C$38:$E$38)</f>
        <v>6</v>
      </c>
      <c r="FE8" s="624">
        <f>SUM([17]A26!$C$30:$C$31,[17]A26!$C$38:$E$38)</f>
        <v>4</v>
      </c>
      <c r="FF8" s="624">
        <f>SUM([18]A26!$C$30:$C$31,[18]A26!$C$38:$E$38)</f>
        <v>1</v>
      </c>
      <c r="FG8" s="624">
        <f>SUM([19]A26!$C$30:$C$31,[19]A26!$C$38:$E$38)</f>
        <v>9</v>
      </c>
      <c r="FH8" s="624">
        <f>SUM([20]A26!$C$30:$C$31,[20]A26!$C$38:$E$38)</f>
        <v>0</v>
      </c>
      <c r="FI8" s="624">
        <f>SUM([21]A26!$C$30:$C$31,[21]A26!$C$38:$E$38)</f>
        <v>1</v>
      </c>
      <c r="FJ8" s="624">
        <f>SUM([22]A26!$C$30:$C$31,[22]A26!$C$38:$E$38)</f>
        <v>1</v>
      </c>
      <c r="FL8" s="437"/>
      <c r="FM8" s="437"/>
      <c r="FN8" s="437"/>
      <c r="FO8" s="437"/>
      <c r="FP8" s="262">
        <f t="shared" si="16"/>
        <v>22</v>
      </c>
      <c r="FR8" s="624">
        <f>SUM([16]A32!$B$127:$B$129,[16]A32!$C$144,[16]A32!$C$155)</f>
        <v>0</v>
      </c>
      <c r="FS8" s="624">
        <f>SUM([17]A32!$B$127:$B$129,[17]A32!$C$144,[17]A32!$C$155)</f>
        <v>0</v>
      </c>
      <c r="FT8" s="624">
        <f>SUM([18]A32!$B$127:$B$129,[18]A32!$C$144,[18]A32!$C$155)</f>
        <v>0</v>
      </c>
      <c r="FU8" s="624">
        <f>SUM([19]A32!$B$127:$B$129,[19]A32!$C$144,[19]A32!$C$155)</f>
        <v>0</v>
      </c>
      <c r="FV8" s="624">
        <f>SUM([20]A32!$B$127:$B$129,[20]A32!$C$144,[20]A32!$C$155)</f>
        <v>0</v>
      </c>
      <c r="FW8" s="624">
        <f>SUM([21]A32!$B$127:$B$129,[21]A32!$C$144,[21]A32!$C$155)</f>
        <v>0</v>
      </c>
      <c r="FX8" s="624">
        <f>SUM([22]A32!$B$127:$B$129,[22]A32!$C$144,[22]A32!$C$155)</f>
        <v>0</v>
      </c>
      <c r="FZ8" s="437"/>
      <c r="GA8" s="437"/>
      <c r="GB8" s="437"/>
      <c r="GC8" s="437"/>
      <c r="GD8" s="262">
        <f t="shared" si="17"/>
        <v>0</v>
      </c>
      <c r="GF8" s="624">
        <f>SUM([16]A04!$B$24)</f>
        <v>61</v>
      </c>
      <c r="GG8" s="624">
        <f>SUM([17]A04!$B$24)</f>
        <v>40</v>
      </c>
      <c r="GH8" s="624">
        <f>SUM([18]A04!$B$24)</f>
        <v>66</v>
      </c>
      <c r="GI8" s="624">
        <f>SUM([19]A04!$B$24)</f>
        <v>87</v>
      </c>
      <c r="GJ8" s="624">
        <f>SUM([20]A04!$B$24)</f>
        <v>84</v>
      </c>
      <c r="GK8" s="624">
        <f>SUM([21]A04!$B$24)</f>
        <v>92</v>
      </c>
      <c r="GL8" s="624">
        <f>SUM([22]A04!$B$24)</f>
        <v>128</v>
      </c>
      <c r="GN8" s="437"/>
      <c r="GO8" s="437"/>
      <c r="GP8" s="437"/>
      <c r="GQ8" s="437"/>
      <c r="GR8" s="262">
        <f t="shared" si="18"/>
        <v>558</v>
      </c>
    </row>
    <row r="9" spans="2:200" x14ac:dyDescent="0.2">
      <c r="B9" s="150">
        <v>107356</v>
      </c>
      <c r="C9" s="151" t="s">
        <v>98</v>
      </c>
      <c r="D9" s="248"/>
      <c r="E9" s="621">
        <f>SUM([23]A05!$H$114,[23]A05!$J$114,[23]A05!$L$114,[23]A05!$N$114,[23]A05!$P$114,[23]A05!$R$114,[23]A05!$T$114,[23]A05!$V$114,[23]A05!$X$114)</f>
        <v>13</v>
      </c>
      <c r="F9" s="621">
        <f>SUM([24]A05!$H$114,[24]A05!$J$114,[24]A05!$L$114,[24]A05!$N$114,[24]A05!$P$114,[24]A05!$R$114,[24]A05!$T$114,[24]A05!$V$114,[24]A05!$X$114)</f>
        <v>8</v>
      </c>
      <c r="G9" s="621">
        <f>SUM([25]A05!$H$114,[25]A05!$J$114,[25]A05!$L$114,[25]A05!$N$114,[25]A05!$P$114,[25]A05!$R$114,[25]A05!$T$114,[25]A05!$V$114,[25]A05!$X$114)</f>
        <v>8</v>
      </c>
      <c r="H9" s="621">
        <f>SUM([26]A05!$H$114,[26]A05!$J$114,[26]A05!$L$114,[26]A05!$N$114,[26]A05!$P$114,[26]A05!$R$114,[26]A05!$T$114,[26]A05!$V$114,[26]A05!$X$114)</f>
        <v>9</v>
      </c>
      <c r="I9" s="621">
        <f>SUM([27]A05!$H$114,[27]A05!$J$114,[27]A05!$L$114,[27]A05!$N$114,[27]A05!$P$114,[27]A05!$R$114,[27]A05!$T$114,[27]A05!$V$114,[27]A05!$X$114)</f>
        <v>7</v>
      </c>
      <c r="J9" s="621">
        <f>SUM([28]A05!$H$114,[28]A05!$J$114,[28]A05!$L$114,[28]A05!$N$114,[28]A05!$P$114,[28]A05!$R$114,[28]A05!$T$114,[28]A05!$V$114,[28]A05!$X$114)</f>
        <v>8</v>
      </c>
      <c r="K9" s="621">
        <f>SUM([29]A05!$H$114,[29]A05!$J$114,[29]A05!$L$114,[29]A05!$N$114,[29]A05!$P$114,[29]A05!$R$114,[29]A05!$T$114,[29]A05!$V$114,[29]A05!$X$114)</f>
        <v>12</v>
      </c>
      <c r="L9" s="274"/>
      <c r="M9" s="621"/>
      <c r="N9" s="621"/>
      <c r="O9" s="621"/>
      <c r="P9" s="621"/>
      <c r="Q9" s="620">
        <f t="shared" si="2"/>
        <v>65</v>
      </c>
      <c r="R9" s="248"/>
      <c r="S9" s="621">
        <f>SUM([23]A05!$I$114,[23]A05!$K$114,[23]A05!$M$114,[23]A05!$O$114,[23]A05!$Q$114,[23]A05!$S$114,[23]A05!$U$114,[23]A05!$W$114,[23]A05!$Y$114)</f>
        <v>13</v>
      </c>
      <c r="T9" s="621">
        <f>SUM([24]A05!$I$114,[24]A05!$K$114,[24]A05!$M$114,[24]A05!$O$114,[24]A05!$Q$114,[24]A05!$S$114,[24]A05!$U$114,[24]A05!$W$114,[24]A05!$Y$114)</f>
        <v>13</v>
      </c>
      <c r="U9" s="621">
        <f>SUM([25]A05!$I$114,[25]A05!$K$114,[25]A05!$M$114,[25]A05!$O$114,[25]A05!$Q$114,[25]A05!$S$114,[25]A05!$U$114,[25]A05!$W$114,[25]A05!$Y$114)</f>
        <v>6</v>
      </c>
      <c r="V9" s="621">
        <f>SUM([26]A05!$I$114,[26]A05!$K$114,[26]A05!$M$114,[26]A05!$O$114,[26]A05!$Q$114,[26]A05!$S$114,[26]A05!$U$114,[26]A05!$W$114,[26]A05!$Y$114)</f>
        <v>7</v>
      </c>
      <c r="W9" s="621">
        <f>SUM([27]A05!$I$114,[27]A05!$K$114,[27]A05!$M$114,[27]A05!$O$114,[27]A05!$Q$114,[27]A05!$S$114,[27]A05!$U$114,[27]A05!$W$114,[27]A05!$Y$114)</f>
        <v>11</v>
      </c>
      <c r="X9" s="621">
        <f>SUM([28]A05!$I$114,[28]A05!$K$114,[28]A05!$M$114,[28]A05!$O$114,[28]A05!$Q$114,[28]A05!$S$114,[28]A05!$U$114,[28]A05!$W$114,[28]A05!$Y$114)</f>
        <v>10</v>
      </c>
      <c r="Y9" s="621">
        <f>SUM([29]A05!$I$114,[29]A05!$K$114,[29]A05!$M$114,[29]A05!$O$114,[29]A05!$Q$114,[29]A05!$S$114,[29]A05!$U$114,[29]A05!$W$114,[29]A05!$Y$114)</f>
        <v>4</v>
      </c>
      <c r="Z9" s="274"/>
      <c r="AA9" s="621"/>
      <c r="AB9" s="621"/>
      <c r="AC9" s="621"/>
      <c r="AD9" s="621"/>
      <c r="AE9" s="620">
        <f t="shared" si="3"/>
        <v>64</v>
      </c>
      <c r="AF9" s="248"/>
      <c r="AG9" s="248"/>
      <c r="AH9" s="621">
        <f>SUM([23]A05!$H$127,[23]A05!$J$127,[23]A05!$L$127,[23]A05!$N$127,[23]A05!$P$127,[23]A05!$R$127,[23]A05!$T$127,[23]A05!$V$127,[23]A05!$X$127)</f>
        <v>1</v>
      </c>
      <c r="AI9" s="621">
        <f>SUM([24]A05!$H$127,[24]A05!$J$127,[24]A05!$L$127,[24]A05!$N$127,[24]A05!$P$127,[24]A05!$R$127,[24]A05!$T$127,[24]A05!$V$127,[24]A05!$X$127)</f>
        <v>3</v>
      </c>
      <c r="AJ9" s="621">
        <f>SUM([25]A05!$H$127,[25]A05!$J$127,[25]A05!$L$127,[25]A05!$N$127,[25]A05!$P$127,[25]A05!$R$127,[25]A05!$T$127,[25]A05!$V$127,[25]A05!$X$127)</f>
        <v>0</v>
      </c>
      <c r="AK9" s="621">
        <f>SUM([26]A05!$H$127,[26]A05!$J$127,[26]A05!$L$127,[26]A05!$N$127,[26]A05!$P$127,[26]A05!$R$127,[26]A05!$T$127,[26]A05!$V$127,[26]A05!$X$127)</f>
        <v>1</v>
      </c>
      <c r="AL9" s="621">
        <f>SUM([27]A05!$H$127,[27]A05!$J$127,[27]A05!$L$127,[27]A05!$N$127,[27]A05!$P$127,[27]A05!$R$127,[27]A05!$T$127,[27]A05!$V$127,[27]A05!$X$127)</f>
        <v>0</v>
      </c>
      <c r="AM9" s="621">
        <f>SUM([28]A05!$H$127,[28]A05!$J$127,[28]A05!$L$127,[28]A05!$N$127,[28]A05!$P$127,[28]A05!$R$127,[28]A05!$T$127,[28]A05!$V$127,[28]A05!$X$127)</f>
        <v>1</v>
      </c>
      <c r="AN9" s="621">
        <f>SUM([29]A05!$H$127,[29]A05!$J$127,[29]A05!$L$127,[29]A05!$N$127,[29]A05!$P$127,[29]A05!$R$127,[29]A05!$T$127,[29]A05!$V$127,[29]A05!$X$127)</f>
        <v>3</v>
      </c>
      <c r="AO9" s="274"/>
      <c r="AP9" s="621"/>
      <c r="AQ9" s="621"/>
      <c r="AR9" s="621"/>
      <c r="AS9" s="621"/>
      <c r="AT9" s="620">
        <f t="shared" si="4"/>
        <v>9</v>
      </c>
      <c r="AU9" s="256"/>
      <c r="AV9" s="621">
        <f>SUM([23]A05!$I$127,[23]A05!$K$127,[23]A05!$M$127,[23]A05!$O$127,[23]A05!$Q$127,[23]A05!$S$127,[23]A05!$U$127,[23]A05!$W$127,[23]A05!$Y$127)</f>
        <v>0</v>
      </c>
      <c r="AW9" s="621">
        <f>SUM([24]A05!$I$127,[24]A05!$K$127,[24]A05!$M$127,[24]A05!$O$127,[24]A05!$Q$127,[24]A05!$S$127,[24]A05!$U$127,[24]A05!$W$127,[24]A05!$Y$127)</f>
        <v>7</v>
      </c>
      <c r="AX9" s="621">
        <f>SUM([25]A05!$I$127,[25]A05!$K$127,[25]A05!$M$127,[25]A05!$O$127,[25]A05!$Q$127,[25]A05!$S$127,[25]A05!$U$127,[25]A05!$W$127,[25]A05!$Y$127)</f>
        <v>0</v>
      </c>
      <c r="AY9" s="621">
        <f>SUM([26]A05!$I$127,[26]A05!$K$127,[26]A05!$M$127,[26]A05!$O$127,[26]A05!$Q$127,[26]A05!$S$127,[26]A05!$U$127,[26]A05!$W$127,[26]A05!$Y$127)</f>
        <v>0</v>
      </c>
      <c r="AZ9" s="621">
        <f>SUM([27]A05!$I$127,[27]A05!$K$127,[27]A05!$M$127,[27]A05!$O$127,[27]A05!$Q$127,[27]A05!$S$127,[27]A05!$U$127,[27]A05!$W$127,[27]A05!$Y$127)</f>
        <v>0</v>
      </c>
      <c r="BA9" s="621">
        <f>SUM([28]A05!$I$127,[28]A05!$K$127,[28]A05!$M$127,[28]A05!$O$127,[28]A05!$Q$127,[28]A05!$S$127,[28]A05!$U$127,[28]A05!$W$127,[28]A05!$Y$127)</f>
        <v>1</v>
      </c>
      <c r="BB9" s="621">
        <f>SUM([29]A05!$I$127,[29]A05!$K$127,[29]A05!$M$127,[29]A05!$O$127,[29]A05!$Q$127,[29]A05!$S$127,[29]A05!$U$127,[29]A05!$W$127,[29]A05!$Y$127)</f>
        <v>5</v>
      </c>
      <c r="BC9" s="274"/>
      <c r="BD9" s="621"/>
      <c r="BE9" s="621"/>
      <c r="BF9" s="621"/>
      <c r="BG9" s="621"/>
      <c r="BH9" s="620">
        <f t="shared" si="5"/>
        <v>13</v>
      </c>
      <c r="BI9" s="256"/>
      <c r="BJ9" s="621">
        <f>[23]A05!$C$186</f>
        <v>32</v>
      </c>
      <c r="BK9" s="621">
        <f>[24]A05!$C$186</f>
        <v>30</v>
      </c>
      <c r="BL9" s="621">
        <f>[25]A05!$C$186</f>
        <v>69</v>
      </c>
      <c r="BM9" s="621">
        <f>[26]A05!$C$186</f>
        <v>45</v>
      </c>
      <c r="BN9" s="621">
        <f>[27]A05!$C$186</f>
        <v>16</v>
      </c>
      <c r="BO9" s="621">
        <f>[28]A05!$C$186</f>
        <v>78</v>
      </c>
      <c r="BP9" s="621">
        <f>[29]A05!$C$186</f>
        <v>53</v>
      </c>
      <c r="BQ9" s="274"/>
      <c r="BR9" s="621"/>
      <c r="BS9" s="621"/>
      <c r="BT9" s="621"/>
      <c r="BU9" s="621"/>
      <c r="BV9" s="620">
        <f t="shared" si="6"/>
        <v>323</v>
      </c>
      <c r="BW9" s="256"/>
      <c r="BX9" s="611">
        <f>SUM([23]A05!$C$234,[23]A05!$AN$241,[23]A05!$AO$241,[23]A05!$AP$241)</f>
        <v>1</v>
      </c>
      <c r="BY9" s="611">
        <f>SUM([24]A05!$C$234,[24]A05!$AN$241,[24]A05!$AO$241,[24]A05!$AP$241)</f>
        <v>2</v>
      </c>
      <c r="BZ9" s="611">
        <f>SUM([25]A05!$C$234,[25]A05!$AN$241,[25]A05!$AO$241,[25]A05!$AP$241)</f>
        <v>21</v>
      </c>
      <c r="CA9" s="611">
        <f>SUM([26]A05!$C$234,[26]A05!$AN$241,[26]A05!$AO$241,[26]A05!$AP$241)</f>
        <v>0</v>
      </c>
      <c r="CB9" s="611">
        <f>SUM([27]A05!$C$234,[27]A05!$AN$241,[27]A05!$AO$241,[27]A05!$AP$241)</f>
        <v>10</v>
      </c>
      <c r="CC9" s="611">
        <f>SUM([28]A05!$C$234,[28]A05!$AN$241,[28]A05!$AO$241,[28]A05!$AP$241)</f>
        <v>88</v>
      </c>
      <c r="CD9" s="611">
        <f>SUM([29]A05!$C$234,[29]A05!$AN$241,[29]A05!$AO$241,[29]A05!$AP$241)</f>
        <v>1</v>
      </c>
      <c r="CE9" s="256"/>
      <c r="CF9" s="434"/>
      <c r="CG9" s="434"/>
      <c r="CH9" s="434"/>
      <c r="CI9" s="434"/>
      <c r="CJ9" s="262">
        <f t="shared" si="7"/>
        <v>123</v>
      </c>
      <c r="CK9" s="256"/>
      <c r="CL9" s="611">
        <f>SUM([23]A09!$G$12:$AB$12)</f>
        <v>533</v>
      </c>
      <c r="CM9" s="611">
        <f>SUM([24]A09!$G$12:$AB$12)</f>
        <v>281</v>
      </c>
      <c r="CN9" s="611">
        <f>SUM([25]A09!$G$12:$AB$12)</f>
        <v>269</v>
      </c>
      <c r="CO9" s="611">
        <f>SUM([26]A09!$G$12:$AB$12)</f>
        <v>244</v>
      </c>
      <c r="CP9" s="611">
        <f>SUM([27]A09!$G$12:$AB$12)</f>
        <v>291</v>
      </c>
      <c r="CQ9" s="611">
        <f>SUM([28]A09!$G$12:$AB$12)</f>
        <v>177</v>
      </c>
      <c r="CR9" s="611">
        <f>SUM([29]A09!$G$12:$AB$12)</f>
        <v>260</v>
      </c>
      <c r="CS9" s="256"/>
      <c r="CT9" s="434"/>
      <c r="CU9" s="434"/>
      <c r="CV9" s="434"/>
      <c r="CW9" s="434"/>
      <c r="CX9" s="262">
        <f t="shared" si="8"/>
        <v>2055</v>
      </c>
      <c r="CY9" s="256"/>
      <c r="CZ9" s="611">
        <f>SUM([23]A09!$G$48:$L$48)</f>
        <v>39</v>
      </c>
      <c r="DA9" s="611">
        <f>SUM([24]A09!$G$48:$L$48)</f>
        <v>33</v>
      </c>
      <c r="DB9" s="611">
        <f>SUM([25]A09!$G$48:$L$48)</f>
        <v>30</v>
      </c>
      <c r="DC9" s="611">
        <f>SUM([26]A09!$G$48:$L$48)</f>
        <v>25</v>
      </c>
      <c r="DD9" s="611">
        <f>SUM([27]A09!$G$48:$L$48)</f>
        <v>21</v>
      </c>
      <c r="DE9" s="611">
        <f>SUM([28]A09!$G$48:$L$48)</f>
        <v>23</v>
      </c>
      <c r="DF9" s="611">
        <f>SUM([29]A09!$G$48:$L$48)</f>
        <v>16</v>
      </c>
      <c r="DG9" s="256"/>
      <c r="DH9" s="434"/>
      <c r="DI9" s="434"/>
      <c r="DJ9" s="434"/>
      <c r="DK9" s="434"/>
      <c r="DL9" s="262">
        <f t="shared" si="9"/>
        <v>187</v>
      </c>
      <c r="DM9" s="287"/>
      <c r="DN9" s="436">
        <f t="shared" si="0"/>
        <v>385</v>
      </c>
      <c r="DO9" s="436">
        <f t="shared" si="0"/>
        <v>389</v>
      </c>
      <c r="DP9" s="802">
        <f t="shared" si="0"/>
        <v>560</v>
      </c>
      <c r="DQ9" s="802">
        <f t="shared" si="0"/>
        <v>575</v>
      </c>
      <c r="DR9" s="436">
        <f t="shared" si="0"/>
        <v>459</v>
      </c>
      <c r="DS9" s="436">
        <f t="shared" si="0"/>
        <v>521</v>
      </c>
      <c r="DT9" s="436">
        <f t="shared" si="0"/>
        <v>718</v>
      </c>
      <c r="DU9" s="436">
        <f t="shared" si="0"/>
        <v>0</v>
      </c>
      <c r="DV9" s="436">
        <f t="shared" si="10"/>
        <v>0</v>
      </c>
      <c r="DW9" s="436">
        <f t="shared" si="11"/>
        <v>0</v>
      </c>
      <c r="DX9" s="436">
        <f t="shared" si="12"/>
        <v>0</v>
      </c>
      <c r="DY9" s="436">
        <f t="shared" si="1"/>
        <v>0</v>
      </c>
      <c r="DZ9" s="262">
        <f t="shared" si="13"/>
        <v>3607</v>
      </c>
      <c r="EA9" s="256"/>
      <c r="EB9" s="623">
        <f>SUM([23]A06!$C$22:$C$23,[23]A06!$E$32)</f>
        <v>367</v>
      </c>
      <c r="EC9" s="623">
        <f>SUM([24]A06!$C$22:$C$23,[24]A06!$E$32)</f>
        <v>366</v>
      </c>
      <c r="ED9" s="623">
        <f>SUM([25]A06!$C$22:$C$23,[25]A06!$E$32)</f>
        <v>520</v>
      </c>
      <c r="EE9" s="623">
        <f>SUM([26]A06!$C$22:$C$23,[26]A06!$E$32)</f>
        <v>491</v>
      </c>
      <c r="EF9" s="623">
        <f>SUM([27]A06!$C$22:$C$23,[27]A06!$E$32)</f>
        <v>427</v>
      </c>
      <c r="EG9" s="623">
        <f>SUM([28]A06!$C$22:$C$23,[28]A06!$E$32)</f>
        <v>442</v>
      </c>
      <c r="EH9" s="623">
        <f>SUM([29]A06!$C$22:$C$23,[29]A06!$E$32)</f>
        <v>601</v>
      </c>
      <c r="EJ9" s="437"/>
      <c r="EK9" s="437"/>
      <c r="EL9" s="437"/>
      <c r="EM9" s="437"/>
      <c r="EN9" s="262">
        <f t="shared" si="14"/>
        <v>3214</v>
      </c>
      <c r="EP9" s="624">
        <f>SUM([23]A19a!$C$97,$C$99)</f>
        <v>0</v>
      </c>
      <c r="EQ9" s="624">
        <f>SUM([24]A19a!$C$97,$C$99)</f>
        <v>0</v>
      </c>
      <c r="ER9" s="806">
        <f>SUM([25]A19a!$C$97,$C$99)</f>
        <v>0</v>
      </c>
      <c r="ES9" s="806">
        <f>SUM([26]A19a!$C$97,[26]A19a!$C$99)</f>
        <v>1</v>
      </c>
      <c r="ET9" s="624">
        <f>SUM([27]A19a!$C$97,$C$99)</f>
        <v>0</v>
      </c>
      <c r="EU9" s="624">
        <f>SUM([28]A19a!$C$97,$C$99)</f>
        <v>0</v>
      </c>
      <c r="EV9" s="624">
        <f>SUM([29]A19a!$C$97,$C$99)</f>
        <v>1</v>
      </c>
      <c r="EX9" s="437"/>
      <c r="EY9" s="437"/>
      <c r="EZ9" s="437"/>
      <c r="FA9" s="437"/>
      <c r="FB9" s="262">
        <f t="shared" si="15"/>
        <v>2</v>
      </c>
      <c r="FD9" s="624">
        <f>SUM([23]A26!$C$30:$C$31,[23]A26!$C$38:$E$38)</f>
        <v>5</v>
      </c>
      <c r="FE9" s="624">
        <f>SUM([24]A26!$C$30:$C$31,[24]A26!$C$38:$E$38)</f>
        <v>0</v>
      </c>
      <c r="FF9" s="624">
        <f>SUM([25]A26!$C$30:$C$31,[25]A26!$C$38:$E$38)</f>
        <v>2</v>
      </c>
      <c r="FG9" s="624">
        <f>SUM([26]A26!$C$30:$C$31,[26]A26!$C$38:$E$38)</f>
        <v>1</v>
      </c>
      <c r="FH9" s="624">
        <f>SUM([27]A26!$C$30:$C$31,[27]A26!$C$38:$E$38)</f>
        <v>5</v>
      </c>
      <c r="FI9" s="624">
        <f>SUM([28]A26!$C$30:$C$31,[28]A26!$C$38:$E$38)</f>
        <v>2</v>
      </c>
      <c r="FJ9" s="624">
        <f>SUM([29]A26!$C$30:$C$31,[29]A26!$C$38:$E$38)</f>
        <v>7</v>
      </c>
      <c r="FL9" s="437"/>
      <c r="FM9" s="437"/>
      <c r="FN9" s="437"/>
      <c r="FO9" s="437"/>
      <c r="FP9" s="262">
        <f t="shared" si="16"/>
        <v>22</v>
      </c>
      <c r="FR9" s="624">
        <f>SUM([23]A32!$B$127:$B$129,[23]A32!$C$144,[23]A32!$C$155)</f>
        <v>0</v>
      </c>
      <c r="FS9" s="624">
        <f>SUM([24]A32!$B$127:$B$129,[24]A32!$C$144,[24]A32!$C$155)</f>
        <v>12</v>
      </c>
      <c r="FT9" s="624">
        <f>SUM([25]A32!$B$127:$B$129,[25]A32!$C$144,[25]A32!$C$155)</f>
        <v>19</v>
      </c>
      <c r="FU9" s="624">
        <f>SUM([26]A32!$B$127:$B$129,[26]A32!$C$144,[26]A32!$C$155)</f>
        <v>27</v>
      </c>
      <c r="FV9" s="624">
        <f>SUM([27]A32!$B$127:$B$129,[27]A32!$C$144,[27]A32!$C$155)</f>
        <v>0</v>
      </c>
      <c r="FW9" s="624">
        <f>SUM([28]A32!$B$127:$B$129,[28]A32!$C$144,[28]A32!$C$155)</f>
        <v>39</v>
      </c>
      <c r="FX9" s="624">
        <f>SUM([29]A32!$B$127:$B$129,[29]A32!$C$144,[29]A32!$C$155)</f>
        <v>22</v>
      </c>
      <c r="FZ9" s="437"/>
      <c r="GA9" s="437"/>
      <c r="GB9" s="437"/>
      <c r="GC9" s="437"/>
      <c r="GD9" s="262">
        <f t="shared" si="17"/>
        <v>119</v>
      </c>
      <c r="GF9" s="624">
        <f>SUM([23]A04!$B$24)</f>
        <v>13</v>
      </c>
      <c r="GG9" s="624">
        <f>SUM([24]A04!$B$24)</f>
        <v>11</v>
      </c>
      <c r="GH9" s="624">
        <f>SUM([25]A04!$B$24)</f>
        <v>19</v>
      </c>
      <c r="GI9" s="624">
        <f>SUM([26]A04!$B$24)</f>
        <v>55</v>
      </c>
      <c r="GJ9" s="624">
        <f>SUM([27]A04!$B$24)</f>
        <v>27</v>
      </c>
      <c r="GK9" s="624">
        <f>SUM([28]A04!$B$24)</f>
        <v>38</v>
      </c>
      <c r="GL9" s="624">
        <f>SUM([29]A04!$B$24)</f>
        <v>87</v>
      </c>
      <c r="GN9" s="437"/>
      <c r="GO9" s="437"/>
      <c r="GP9" s="437"/>
      <c r="GQ9" s="437"/>
      <c r="GR9" s="262">
        <f t="shared" si="18"/>
        <v>250</v>
      </c>
    </row>
    <row r="10" spans="2:200" x14ac:dyDescent="0.2">
      <c r="B10" s="150">
        <v>107357</v>
      </c>
      <c r="C10" s="151" t="s">
        <v>99</v>
      </c>
      <c r="D10" s="248"/>
      <c r="E10" s="621">
        <f>SUM([30]A05!$H$114,[30]A05!$J$114,[30]A05!$L$114,[30]A05!$N$114,[30]A05!$P$114,[30]A05!$R$114,[30]A05!$T$114,[30]A05!$V$114,[30]A05!$X$114)</f>
        <v>7</v>
      </c>
      <c r="F10" s="621">
        <f>SUM([31]A05!$H$114,[31]A05!$J$114,[31]A05!$L$114,[31]A05!$N$114,[31]A05!$P$114,[31]A05!$R$114,[31]A05!$T$114,[31]A05!$V$114,[31]A05!$X$114)</f>
        <v>2</v>
      </c>
      <c r="G10" s="621">
        <f>SUM([32]A05!$H$114,[32]A05!$J$114,[32]A05!$L$114,[32]A05!$N$114,[32]A05!$P$114,[32]A05!$R$114,[32]A05!$T$114,[32]A05!$V$114,[32]A05!$X$114)</f>
        <v>9</v>
      </c>
      <c r="H10" s="621">
        <f>SUM([33]A05!$H$114,[33]A05!$J$114,[33]A05!$L$114,[33]A05!$N$114,[33]A05!$P$114,[33]A05!$R$114,[33]A05!$T$114,[33]A05!$V$114,[33]A05!$X$114)</f>
        <v>7</v>
      </c>
      <c r="I10" s="621">
        <f>SUM([34]A05!$H$114,[34]A05!$J$114,[34]A05!$L$114,[34]A05!$N$114,[34]A05!$P$114,[34]A05!$R$114,[34]A05!$T$114,[34]A05!$V$114,[34]A05!$X$114)</f>
        <v>4</v>
      </c>
      <c r="J10" s="621">
        <f>SUM([35]A05!$H$114,[35]A05!$J$114,[35]A05!$L$114,[35]A05!$N$114,[35]A05!$P$114,[35]A05!$R$114,[35]A05!$T$114,[35]A05!$V$114,[35]A05!$X$114)</f>
        <v>10</v>
      </c>
      <c r="K10" s="621">
        <f>SUM([36]A05!$H$114,[36]A05!$J$114,[36]A05!$L$114,[36]A05!$N$114,[36]A05!$P$114,[36]A05!$R$114,[36]A05!$T$114,[36]A05!$V$114,[36]A05!$X$114)</f>
        <v>9</v>
      </c>
      <c r="L10" s="274"/>
      <c r="M10" s="621"/>
      <c r="N10" s="621"/>
      <c r="O10" s="621"/>
      <c r="P10" s="621"/>
      <c r="Q10" s="620">
        <f t="shared" si="2"/>
        <v>48</v>
      </c>
      <c r="R10" s="248"/>
      <c r="S10" s="621">
        <f>SUM([30]A05!$I$114,[30]A05!$K$114,[30]A05!$M$114,[30]A05!$O$114,[30]A05!$Q$114,[30]A05!$S$114,[30]A05!$U$114,[30]A05!$W$114,[30]A05!$Y$114)</f>
        <v>4</v>
      </c>
      <c r="T10" s="621">
        <f>SUM([31]A05!$I$114,[31]A05!$K$114,[31]A05!$M$114,[31]A05!$O$114,[31]A05!$Q$114,[31]A05!$S$114,[31]A05!$U$114,[31]A05!$W$114,[31]A05!$Y$114)</f>
        <v>6</v>
      </c>
      <c r="U10" s="621">
        <f>SUM([32]A05!$I$114,[32]A05!$K$114,[32]A05!$M$114,[32]A05!$O$114,[32]A05!$Q$114,[32]A05!$S$114,[32]A05!$U$114,[32]A05!$W$114,[32]A05!$Y$114)</f>
        <v>14</v>
      </c>
      <c r="V10" s="621">
        <f>SUM([33]A05!$I$114,[33]A05!$K$114,[33]A05!$M$114,[33]A05!$O$114,[33]A05!$Q$114,[33]A05!$S$114,[33]A05!$U$114,[33]A05!$W$114,[33]A05!$Y$114)</f>
        <v>7</v>
      </c>
      <c r="W10" s="621">
        <f>SUM([34]A05!$I$114,[34]A05!$K$114,[34]A05!$M$114,[34]A05!$O$114,[34]A05!$Q$114,[34]A05!$S$114,[34]A05!$U$114,[34]A05!$W$114,[34]A05!$Y$114)</f>
        <v>5</v>
      </c>
      <c r="X10" s="621">
        <f>SUM([35]A05!$I$114,[35]A05!$K$114,[35]A05!$M$114,[35]A05!$O$114,[35]A05!$Q$114,[35]A05!$S$114,[35]A05!$U$114,[35]A05!$W$114,[35]A05!$Y$114)</f>
        <v>12</v>
      </c>
      <c r="Y10" s="621">
        <f>SUM([36]A05!$I$114,[36]A05!$K$114,[36]A05!$M$114,[36]A05!$O$114,[36]A05!$Q$114,[36]A05!$S$114,[36]A05!$U$114,[36]A05!$W$114,[36]A05!$Y$114)</f>
        <v>13</v>
      </c>
      <c r="Z10" s="274"/>
      <c r="AA10" s="621"/>
      <c r="AB10" s="621"/>
      <c r="AC10" s="621"/>
      <c r="AD10" s="621"/>
      <c r="AE10" s="620">
        <f t="shared" si="3"/>
        <v>61</v>
      </c>
      <c r="AF10" s="248"/>
      <c r="AG10" s="248"/>
      <c r="AH10" s="621">
        <f>SUM([30]A05!$H$127,[30]A05!$J$127,[30]A05!$L$127,[30]A05!$N$127,[30]A05!$P$127,[30]A05!$R$127,[30]A05!$T$127,[30]A05!$V$127,[30]A05!$X$127)</f>
        <v>0</v>
      </c>
      <c r="AI10" s="621">
        <f>SUM([31]A05!$H$127,[31]A05!$J$127,[31]A05!$L$127,[31]A05!$N$127,[31]A05!$P$127,[31]A05!$R$127,[31]A05!$T$127,[31]A05!$V$127,[31]A05!$X$127)</f>
        <v>0</v>
      </c>
      <c r="AJ10" s="621">
        <f>SUM([32]A05!$H$127,[32]A05!$J$127,[32]A05!$L$127,[32]A05!$N$127,[32]A05!$P$127,[32]A05!$R$127,[32]A05!$T$127,[32]A05!$V$127,[32]A05!$X$127)</f>
        <v>0</v>
      </c>
      <c r="AK10" s="621">
        <f>SUM([33]A05!$H$127,[33]A05!$J$127,[33]A05!$L$127,[33]A05!$N$127,[33]A05!$P$127,[33]A05!$R$127,[33]A05!$T$127,[33]A05!$V$127,[33]A05!$X$127)</f>
        <v>0</v>
      </c>
      <c r="AL10" s="621">
        <f>SUM([34]A05!$H$127,[34]A05!$J$127,[34]A05!$L$127,[34]A05!$N$127,[34]A05!$P$127,[34]A05!$R$127,[34]A05!$T$127,[34]A05!$V$127,[34]A05!$X$127)</f>
        <v>0</v>
      </c>
      <c r="AM10" s="621">
        <f>SUM([35]A05!$H$127,[35]A05!$J$127,[35]A05!$L$127,[35]A05!$N$127,[35]A05!$P$127,[35]A05!$R$127,[35]A05!$T$127,[35]A05!$V$127,[35]A05!$X$127)</f>
        <v>5</v>
      </c>
      <c r="AN10" s="621">
        <f>SUM([36]A05!$H$127,[36]A05!$J$127,[36]A05!$L$127,[36]A05!$N$127,[36]A05!$P$127,[36]A05!$R$127,[36]A05!$T$127,[36]A05!$V$127,[36]A05!$X$127)</f>
        <v>4</v>
      </c>
      <c r="AO10" s="274"/>
      <c r="AP10" s="621"/>
      <c r="AQ10" s="621"/>
      <c r="AR10" s="621"/>
      <c r="AS10" s="621"/>
      <c r="AT10" s="620">
        <f t="shared" si="4"/>
        <v>9</v>
      </c>
      <c r="AU10" s="256"/>
      <c r="AV10" s="621">
        <f>SUM([30]A05!$I$127,[30]A05!$K$127,[30]A05!$M$127,[30]A05!$O$127,[30]A05!$Q$127,[30]A05!$S$127,[30]A05!$U$127,[30]A05!$W$127,[30]A05!$Y$127)</f>
        <v>1</v>
      </c>
      <c r="AW10" s="621">
        <f>SUM([31]A05!$I$127,[31]A05!$K$127,[31]A05!$M$127,[31]A05!$O$127,[31]A05!$Q$127,[31]A05!$S$127,[31]A05!$U$127,[31]A05!$W$127,[31]A05!$Y$127)</f>
        <v>2</v>
      </c>
      <c r="AX10" s="621">
        <f>SUM([32]A05!$I$127,[32]A05!$K$127,[32]A05!$M$127,[32]A05!$O$127,[32]A05!$Q$127,[32]A05!$S$127,[32]A05!$U$127,[32]A05!$W$127,[32]A05!$Y$127)</f>
        <v>0</v>
      </c>
      <c r="AY10" s="621">
        <f>SUM([33]A05!$I$127,[33]A05!$K$127,[33]A05!$M$127,[33]A05!$O$127,[33]A05!$Q$127,[33]A05!$S$127,[33]A05!$U$127,[33]A05!$W$127,[33]A05!$Y$127)</f>
        <v>1</v>
      </c>
      <c r="AZ10" s="621">
        <f>SUM([34]A05!$I$127,[34]A05!$K$127,[34]A05!$M$127,[34]A05!$O$127,[34]A05!$Q$127,[34]A05!$S$127,[34]A05!$U$127,[34]A05!$W$127,[34]A05!$Y$127)</f>
        <v>0</v>
      </c>
      <c r="BA10" s="621">
        <f>SUM([35]A05!$I$127,[35]A05!$K$127,[35]A05!$M$127,[35]A05!$O$127,[35]A05!$Q$127,[35]A05!$S$127,[35]A05!$U$127,[35]A05!$W$127,[35]A05!$Y$127)</f>
        <v>0</v>
      </c>
      <c r="BB10" s="621">
        <f>SUM([36]A05!$I$127,[36]A05!$K$127,[36]A05!$M$127,[36]A05!$O$127,[36]A05!$Q$127,[36]A05!$S$127,[36]A05!$U$127,[36]A05!$W$127,[36]A05!$Y$127)</f>
        <v>1</v>
      </c>
      <c r="BC10" s="274"/>
      <c r="BD10" s="621"/>
      <c r="BE10" s="621"/>
      <c r="BF10" s="621"/>
      <c r="BG10" s="621"/>
      <c r="BH10" s="620">
        <f t="shared" si="5"/>
        <v>5</v>
      </c>
      <c r="BI10" s="256"/>
      <c r="BJ10" s="621">
        <f>[30]A05!$C$186</f>
        <v>19</v>
      </c>
      <c r="BK10" s="621">
        <f>[31]A05!$C$186</f>
        <v>25</v>
      </c>
      <c r="BL10" s="621">
        <f>[32]A05!$C$186</f>
        <v>84</v>
      </c>
      <c r="BM10" s="621">
        <f>[33]A05!$C$186</f>
        <v>61</v>
      </c>
      <c r="BN10" s="621">
        <f>[34]A05!$C$186</f>
        <v>30</v>
      </c>
      <c r="BO10" s="621">
        <f>[35]A05!$C$186</f>
        <v>56</v>
      </c>
      <c r="BP10" s="621">
        <f>[36]A05!$C$186</f>
        <v>52</v>
      </c>
      <c r="BQ10" s="274"/>
      <c r="BR10" s="621"/>
      <c r="BS10" s="621"/>
      <c r="BT10" s="621"/>
      <c r="BU10" s="621"/>
      <c r="BV10" s="620">
        <f t="shared" si="6"/>
        <v>327</v>
      </c>
      <c r="BW10" s="256"/>
      <c r="BX10" s="611">
        <f>SUM([30]A05!$C$234,[30]A05!$AN$241,[30]A05!$AO$241,[30]A05!$AP$241)</f>
        <v>8</v>
      </c>
      <c r="BY10" s="611">
        <f>SUM([31]A05!$C$234,[31]A05!$AN$241,[31]A05!$AO$241,[31]A05!$AP$241)</f>
        <v>0</v>
      </c>
      <c r="BZ10" s="611">
        <f>SUM([32]A05!$C$234,[32]A05!$AN$241,[32]A05!$AO$241,[32]A05!$AP$241)</f>
        <v>0</v>
      </c>
      <c r="CA10" s="611">
        <f>SUM([33]A05!$C$234,[33]A05!$AN$241,[33]A05!$AO$241,[33]A05!$AP$241)</f>
        <v>0</v>
      </c>
      <c r="CB10" s="611">
        <f>SUM([34]A05!$C$234,[34]A05!$AN$241,[34]A05!$AO$241,[34]A05!$AP$241)</f>
        <v>4</v>
      </c>
      <c r="CC10" s="611">
        <f>SUM([35]A05!$C$234,[35]A05!$AN$241,[35]A05!$AO$241,[35]A05!$AP$241)</f>
        <v>4</v>
      </c>
      <c r="CD10" s="611">
        <f>SUM([36]A05!$C$234,[36]A05!$AN$241,[36]A05!$AO$241,[36]A05!$AP$241)</f>
        <v>8</v>
      </c>
      <c r="CE10" s="256"/>
      <c r="CF10" s="434"/>
      <c r="CG10" s="434"/>
      <c r="CH10" s="434"/>
      <c r="CI10" s="434"/>
      <c r="CJ10" s="262">
        <f t="shared" si="7"/>
        <v>24</v>
      </c>
      <c r="CK10" s="256"/>
      <c r="CL10" s="611">
        <f>SUM([30]A09!$G$12:$AB$12)</f>
        <v>97</v>
      </c>
      <c r="CM10" s="611">
        <f>SUM([31]A09!$G$12:$AB$12)</f>
        <v>105</v>
      </c>
      <c r="CN10" s="611">
        <f>SUM([32]A09!$G$12:$AB$12)</f>
        <v>59</v>
      </c>
      <c r="CO10" s="611">
        <f>SUM([33]A09!$G$12:$AB$12)</f>
        <v>95</v>
      </c>
      <c r="CP10" s="611">
        <f>SUM([34]A09!$G$12:$AB$12)</f>
        <v>129</v>
      </c>
      <c r="CQ10" s="611">
        <f>SUM([35]A09!$G$12:$AB$12)</f>
        <v>109</v>
      </c>
      <c r="CR10" s="611">
        <f>SUM([36]A09!$G$12:$AB$12)</f>
        <v>117</v>
      </c>
      <c r="CS10" s="256"/>
      <c r="CT10" s="434"/>
      <c r="CU10" s="434"/>
      <c r="CV10" s="434"/>
      <c r="CW10" s="434"/>
      <c r="CX10" s="262">
        <f t="shared" si="8"/>
        <v>711</v>
      </c>
      <c r="CY10" s="256"/>
      <c r="CZ10" s="796">
        <f>SUM([30]A09!$G$48:$L$48)</f>
        <v>11</v>
      </c>
      <c r="DA10" s="796">
        <f>SUM([31]A09!$G$48:$L$48)</f>
        <v>9</v>
      </c>
      <c r="DB10" s="796">
        <f>SUM([32]A09!$G$48:$L$48)</f>
        <v>6</v>
      </c>
      <c r="DC10" s="796">
        <f>SUM([33]A09!$G$48:$L$48)</f>
        <v>14</v>
      </c>
      <c r="DD10" s="793">
        <f>SUM([34]A09!$G$48:$L$48)</f>
        <v>19</v>
      </c>
      <c r="DE10" s="796">
        <f>SUM([35]A09!$G$48:$L$48)</f>
        <v>7</v>
      </c>
      <c r="DF10" s="796">
        <f>SUM([36]A09!$G$48:$L$48)</f>
        <v>17</v>
      </c>
      <c r="DG10" s="256"/>
      <c r="DH10" s="434"/>
      <c r="DI10" s="434"/>
      <c r="DJ10" s="434"/>
      <c r="DK10" s="434"/>
      <c r="DL10" s="468">
        <f t="shared" si="9"/>
        <v>83</v>
      </c>
      <c r="DM10" s="436">
        <f t="shared" ref="DM10" si="19">+EA10+EO10+FC10+FQ10+GE10</f>
        <v>0</v>
      </c>
      <c r="DN10" s="436">
        <f t="shared" si="0"/>
        <v>577</v>
      </c>
      <c r="DO10" s="436">
        <f t="shared" si="0"/>
        <v>335</v>
      </c>
      <c r="DP10" s="436">
        <f t="shared" si="0"/>
        <v>430</v>
      </c>
      <c r="DQ10" s="436">
        <f t="shared" si="0"/>
        <v>565</v>
      </c>
      <c r="DR10" s="436">
        <f t="shared" si="0"/>
        <v>520</v>
      </c>
      <c r="DS10" s="436">
        <f t="shared" si="0"/>
        <v>545</v>
      </c>
      <c r="DT10" s="436">
        <f t="shared" si="0"/>
        <v>606</v>
      </c>
      <c r="DU10" s="436">
        <f t="shared" si="0"/>
        <v>0</v>
      </c>
      <c r="DV10" s="436">
        <f t="shared" si="10"/>
        <v>0</v>
      </c>
      <c r="DW10" s="436">
        <f t="shared" si="11"/>
        <v>0</v>
      </c>
      <c r="DX10" s="436">
        <f t="shared" si="12"/>
        <v>0</v>
      </c>
      <c r="DY10" s="436">
        <f t="shared" si="1"/>
        <v>0</v>
      </c>
      <c r="DZ10" s="262">
        <f t="shared" si="13"/>
        <v>3578</v>
      </c>
      <c r="EA10" s="256"/>
      <c r="EB10" s="623">
        <f>SUM([30]A06!$C$22:$C$23,[30]A06!$E$32)</f>
        <v>499</v>
      </c>
      <c r="EC10" s="623">
        <f>SUM([31]A06!$C$22:$C$23,[31]A06!$E$32)</f>
        <v>230</v>
      </c>
      <c r="ED10" s="623">
        <f>SUM([32]A06!$C$22:$C$23,[32]A06!$E$32)</f>
        <v>351</v>
      </c>
      <c r="EE10" s="623">
        <f>SUM([33]A06!$C$22:$C$23,[33]A06!$E$32)</f>
        <v>433</v>
      </c>
      <c r="EF10" s="623">
        <f>SUM([34]A06!$C$22:$C$23,[34]A06!$E$32)</f>
        <v>447</v>
      </c>
      <c r="EG10" s="623">
        <f>SUM([35]A06!$C$22:$C$23,[35]A06!$E$32)</f>
        <v>455</v>
      </c>
      <c r="EH10" s="623">
        <f>SUM([36]A06!$C$22:$C$23,[36]A06!$E$32)</f>
        <v>522</v>
      </c>
      <c r="EJ10" s="437"/>
      <c r="EK10" s="437"/>
      <c r="EL10" s="437"/>
      <c r="EM10" s="437"/>
      <c r="EN10" s="262">
        <f t="shared" si="14"/>
        <v>2937</v>
      </c>
      <c r="EP10" s="624">
        <f>SUM([30]A19a!$C$97,$C$99)</f>
        <v>0</v>
      </c>
      <c r="EQ10" s="624">
        <f>SUM([31]A19a!$C$97,$C$99)</f>
        <v>0</v>
      </c>
      <c r="ER10" s="624">
        <f>SUM([32]A19a!$C$97,$C$99)</f>
        <v>0</v>
      </c>
      <c r="ES10" s="624">
        <f>SUM([33]A19a!$C$97,$C$99)</f>
        <v>0</v>
      </c>
      <c r="ET10" s="624">
        <f>SUM([34]A19a!$C$97,$C$99)</f>
        <v>0</v>
      </c>
      <c r="EU10" s="624">
        <f>SUM([35]A19a!$C$97,$C$99)</f>
        <v>0</v>
      </c>
      <c r="EV10" s="624">
        <f>SUM([36]A19a!$C$97,$C$99)</f>
        <v>0</v>
      </c>
      <c r="EX10" s="437"/>
      <c r="EY10" s="437"/>
      <c r="EZ10" s="437"/>
      <c r="FA10" s="437"/>
      <c r="FB10" s="262">
        <f t="shared" si="15"/>
        <v>0</v>
      </c>
      <c r="FD10" s="624">
        <f>SUM([30]A26!$C$30:$C$31,[30]A26!$C$38:$E$38)</f>
        <v>27</v>
      </c>
      <c r="FE10" s="624">
        <f>SUM([31]A26!$C$30:$C$31,[31]A26!$C$38:$E$38)</f>
        <v>5</v>
      </c>
      <c r="FF10" s="624">
        <f>SUM([32]A26!$C$30:$C$31,[32]A26!$C$38:$E$38)</f>
        <v>4</v>
      </c>
      <c r="FG10" s="624">
        <f>SUM([33]A26!$C$30:$C$31,[33]A26!$C$38:$E$38)</f>
        <v>6</v>
      </c>
      <c r="FH10" s="624">
        <f>SUM([34]A26!$C$30:$C$31,[34]A26!$C$38:$E$38)</f>
        <v>9</v>
      </c>
      <c r="FI10" s="624">
        <f>SUM([35]A26!$C$30:$C$31,[35]A26!$C$38:$E$38)</f>
        <v>0</v>
      </c>
      <c r="FJ10" s="624">
        <f>SUM([36]A26!$C$30:$C$31,[36]A26!$C$38:$E$38)</f>
        <v>4</v>
      </c>
      <c r="FL10" s="437"/>
      <c r="FM10" s="437"/>
      <c r="FN10" s="437"/>
      <c r="FO10" s="437"/>
      <c r="FP10" s="262">
        <f t="shared" si="16"/>
        <v>55</v>
      </c>
      <c r="FR10" s="624">
        <f>SUM([30]A32!$B$127:$B$129,[30]A32!$C$144,[30]A32!$C$155)</f>
        <v>0</v>
      </c>
      <c r="FS10" s="624">
        <f>SUM([31]A32!$B$127:$B$129,[31]A32!$C$144,[31]A32!$C$155)</f>
        <v>0</v>
      </c>
      <c r="FT10" s="624">
        <f>SUM([32]A32!$B$127:$B$129,[32]A32!$C$144,[32]A32!$C$155)</f>
        <v>0</v>
      </c>
      <c r="FU10" s="624">
        <f>SUM([33]A32!$B$127:$B$129,[33]A32!$C$144,[33]A32!$C$155)</f>
        <v>0</v>
      </c>
      <c r="FV10" s="624">
        <f>SUM([34]A32!$B$127:$B$129,[34]A32!$C$144,[34]A32!$C$155)</f>
        <v>0</v>
      </c>
      <c r="FW10" s="624">
        <f>SUM([35]A32!$B$127:$B$129,[35]A32!$C$144,[35]A32!$C$155)</f>
        <v>0</v>
      </c>
      <c r="FX10" s="624">
        <f>SUM([36]A32!$B$127:$B$129,[36]A32!$C$144,[36]A32!$C$155)</f>
        <v>0</v>
      </c>
      <c r="FZ10" s="437"/>
      <c r="GA10" s="437"/>
      <c r="GB10" s="437"/>
      <c r="GC10" s="437"/>
      <c r="GD10" s="262">
        <f t="shared" si="17"/>
        <v>0</v>
      </c>
      <c r="GF10" s="624">
        <f>SUM([30]A04!$B$24)</f>
        <v>51</v>
      </c>
      <c r="GG10" s="624">
        <f>SUM([31]A04!$B$24)</f>
        <v>100</v>
      </c>
      <c r="GH10" s="624">
        <f>SUM([32]A04!$B$24)</f>
        <v>75</v>
      </c>
      <c r="GI10" s="624">
        <f>SUM([33]A04!$B$24)</f>
        <v>126</v>
      </c>
      <c r="GJ10" s="624">
        <f>SUM([34]A04!$B$24)</f>
        <v>64</v>
      </c>
      <c r="GK10" s="624">
        <f>SUM([35]A04!$B$24)</f>
        <v>90</v>
      </c>
      <c r="GL10" s="624">
        <f>SUM([36]A04!$B$24)</f>
        <v>80</v>
      </c>
      <c r="GN10" s="437"/>
      <c r="GO10" s="437"/>
      <c r="GP10" s="437"/>
      <c r="GQ10" s="437"/>
      <c r="GR10" s="262">
        <f t="shared" si="18"/>
        <v>586</v>
      </c>
    </row>
    <row r="11" spans="2:200" x14ac:dyDescent="0.2">
      <c r="B11" s="150">
        <v>107400</v>
      </c>
      <c r="C11" s="151" t="s">
        <v>100</v>
      </c>
      <c r="D11" s="248"/>
      <c r="E11" s="621">
        <f>SUM([37]A05!$H$114,[37]A05!$J$114,[37]A05!$L$114,[37]A05!$N$114,[37]A05!$P$114,[37]A05!$R$114,[37]A05!$T$114,[37]A05!$V$114,[37]A05!$X$114)</f>
        <v>0</v>
      </c>
      <c r="F11" s="621">
        <f>SUM([38]A05!$H$114,[38]A05!$J$114,[38]A05!$L$114,[38]A05!$N$114,[38]A05!$P$114,[38]A05!$R$114,[38]A05!$T$114,[38]A05!$V$114,[38]A05!$X$114)</f>
        <v>0</v>
      </c>
      <c r="G11" s="621">
        <f>SUM([39]A05!$H$114,[39]A05!$J$114,[39]A05!$L$114,[39]A05!$N$114,[39]A05!$P$114,[39]A05!$R$114,[39]A05!$T$114,[39]A05!$V$114,[39]A05!$X$114)</f>
        <v>3</v>
      </c>
      <c r="H11" s="621">
        <f>SUM([40]A05!$H$114,[40]A05!$J$114,[40]A05!$L$114,[40]A05!$N$114,[40]A05!$P$114,[40]A05!$R$114,[40]A05!$T$114,[40]A05!$V$114,[40]A05!$X$114)</f>
        <v>0</v>
      </c>
      <c r="I11" s="621">
        <f>SUM([41]A05!$H$114,[41]A05!$J$114,[41]A05!$L$114,[41]A05!$N$114,[41]A05!$P$114,[41]A05!$R$114,[41]A05!$T$114,[41]A05!$V$114,[41]A05!$X$114)</f>
        <v>0</v>
      </c>
      <c r="J11" s="621">
        <f>SUM([42]A05!$H$114,[42]A05!$J$114,[42]A05!$L$114,[42]A05!$N$114,[42]A05!$P$114,[42]A05!$R$114,[42]A05!$T$114,[42]A05!$V$114,[42]A05!$X$114)</f>
        <v>2</v>
      </c>
      <c r="K11" s="621">
        <f>SUM([43]A05!$H$114,[43]A05!$J$114,[43]A05!$L$114,[43]A05!$N$114,[43]A05!$P$114,[43]A05!$R$114,[43]A05!$T$114,[43]A05!$V$114,[43]A05!$X$114)</f>
        <v>0</v>
      </c>
      <c r="L11" s="274"/>
      <c r="M11" s="621"/>
      <c r="N11" s="621"/>
      <c r="O11" s="621"/>
      <c r="P11" s="621"/>
      <c r="Q11" s="620">
        <f t="shared" si="2"/>
        <v>5</v>
      </c>
      <c r="R11" s="248"/>
      <c r="S11" s="621">
        <f>SUM([37]A05!$I$114,[37]A05!$K$114,[37]A05!$M$114,[37]A05!$O$114,[37]A05!$Q$114,[37]A05!$S$114,[37]A05!$U$114,[37]A05!$W$114,[37]A05!$Y$114)</f>
        <v>0</v>
      </c>
      <c r="T11" s="621">
        <f>SUM([38]A05!$I$114,[38]A05!$K$114,[38]A05!$M$114,[38]A05!$O$114,[38]A05!$Q$114,[38]A05!$S$114,[38]A05!$U$114,[38]A05!$W$114,[38]A05!$Y$114)</f>
        <v>0</v>
      </c>
      <c r="U11" s="621">
        <f>SUM([39]A05!$I$114,[39]A05!$K$114,[39]A05!$M$114,[39]A05!$O$114,[39]A05!$Q$114,[39]A05!$S$114,[39]A05!$U$114,[39]A05!$W$114,[39]A05!$Y$114)</f>
        <v>0</v>
      </c>
      <c r="V11" s="621">
        <f>SUM([40]A05!$I$114,[40]A05!$K$114,[40]A05!$M$114,[40]A05!$O$114,[40]A05!$Q$114,[40]A05!$S$114,[40]A05!$U$114,[40]A05!$W$114,[40]A05!$Y$114)</f>
        <v>0</v>
      </c>
      <c r="W11" s="621">
        <f>SUM([41]A05!$I$114,[41]A05!$K$114,[41]A05!$M$114,[41]A05!$O$114,[41]A05!$Q$114,[41]A05!$S$114,[41]A05!$U$114,[41]A05!$W$114,[41]A05!$Y$114)</f>
        <v>0</v>
      </c>
      <c r="X11" s="621">
        <f>SUM([42]A05!$I$114,[42]A05!$K$114,[42]A05!$M$114,[42]A05!$O$114,[42]A05!$Q$114,[42]A05!$S$114,[42]A05!$U$114,[42]A05!$W$114,[42]A05!$Y$114)</f>
        <v>0</v>
      </c>
      <c r="Y11" s="621">
        <f>SUM([43]A05!$I$114,[43]A05!$K$114,[43]A05!$M$114,[43]A05!$O$114,[43]A05!$Q$114,[43]A05!$S$114,[43]A05!$U$114,[43]A05!$W$114,[43]A05!$Y$114)</f>
        <v>0</v>
      </c>
      <c r="Z11" s="274"/>
      <c r="AA11" s="621"/>
      <c r="AB11" s="621"/>
      <c r="AC11" s="621"/>
      <c r="AD11" s="621"/>
      <c r="AE11" s="620">
        <f t="shared" si="3"/>
        <v>0</v>
      </c>
      <c r="AF11" s="248"/>
      <c r="AG11" s="248"/>
      <c r="AH11" s="621">
        <f>SUM([37]A05!$H$127,[37]A05!$J$127,[37]A05!$L$127,[37]A05!$N$127,[37]A05!$P$127,[37]A05!$R$127,[37]A05!$T$127,[37]A05!$V$127,[37]A05!$X$127)</f>
        <v>0</v>
      </c>
      <c r="AI11" s="621">
        <f>SUM([38]A05!$H$127,[38]A05!$J$127,[38]A05!$L$127,[38]A05!$N$127,[38]A05!$P$127,[38]A05!$R$127,[38]A05!$T$127,[38]A05!$V$127,[38]A05!$X$127)</f>
        <v>0</v>
      </c>
      <c r="AJ11" s="621">
        <f>SUM([39]A05!$H$127,[39]A05!$J$127,[39]A05!$L$127,[39]A05!$N$127,[39]A05!$P$127,[39]A05!$R$127,[39]A05!$T$127,[39]A05!$V$127,[39]A05!$X$127)</f>
        <v>0</v>
      </c>
      <c r="AK11" s="621">
        <f>SUM([40]A05!$H$127,[40]A05!$J$127,[40]A05!$L$127,[40]A05!$N$127,[40]A05!$P$127,[40]A05!$R$127,[40]A05!$T$127,[40]A05!$V$127,[40]A05!$X$127)</f>
        <v>0</v>
      </c>
      <c r="AL11" s="621">
        <f>SUM([41]A05!$H$127,[41]A05!$J$127,[41]A05!$L$127,[41]A05!$N$127,[41]A05!$P$127,[41]A05!$R$127,[41]A05!$T$127,[41]A05!$V$127,[41]A05!$X$127)</f>
        <v>0</v>
      </c>
      <c r="AM11" s="621">
        <f>SUM([42]A05!$H$127,[42]A05!$J$127,[42]A05!$L$127,[42]A05!$N$127,[42]A05!$P$127,[42]A05!$R$127,[42]A05!$T$127,[42]A05!$V$127,[42]A05!$X$127)</f>
        <v>0</v>
      </c>
      <c r="AN11" s="621">
        <f>SUM([43]A05!$H$127,[43]A05!$J$127,[43]A05!$L$127,[43]A05!$N$127,[43]A05!$P$127,[43]A05!$R$127,[43]A05!$T$127,[43]A05!$V$127,[43]A05!$X$127)</f>
        <v>0</v>
      </c>
      <c r="AO11" s="274"/>
      <c r="AP11" s="621"/>
      <c r="AQ11" s="621"/>
      <c r="AR11" s="621"/>
      <c r="AS11" s="621"/>
      <c r="AT11" s="620">
        <f t="shared" si="4"/>
        <v>0</v>
      </c>
      <c r="AU11" s="256"/>
      <c r="AV11" s="621">
        <f>SUM([37]A05!$I$127,[37]A05!$K$127,[37]A05!$M$127,[37]A05!$O$127,[37]A05!$Q$127,[37]A05!$S$127,[37]A05!$U$127,[37]A05!$W$127,[37]A05!$Y$127)</f>
        <v>0</v>
      </c>
      <c r="AW11" s="621">
        <f>SUM([38]A05!$I$127,[38]A05!$K$127,[38]A05!$M$127,[38]A05!$O$127,[38]A05!$Q$127,[38]A05!$S$127,[38]A05!$U$127,[38]A05!$W$127,[38]A05!$Y$127)</f>
        <v>0</v>
      </c>
      <c r="AX11" s="621">
        <f>SUM([39]A05!$I$127,[39]A05!$K$127,[39]A05!$M$127,[39]A05!$O$127,[39]A05!$Q$127,[39]A05!$S$127,[39]A05!$U$127,[39]A05!$W$127,[39]A05!$Y$127)</f>
        <v>0</v>
      </c>
      <c r="AY11" s="621">
        <f>SUM([40]A05!$I$127,[40]A05!$K$127,[40]A05!$M$127,[40]A05!$O$127,[40]A05!$Q$127,[40]A05!$S$127,[40]A05!$U$127,[40]A05!$W$127,[40]A05!$Y$127)</f>
        <v>0</v>
      </c>
      <c r="AZ11" s="621">
        <f>SUM([41]A05!$I$127,[41]A05!$K$127,[41]A05!$M$127,[41]A05!$O$127,[41]A05!$Q$127,[41]A05!$S$127,[41]A05!$U$127,[41]A05!$W$127,[41]A05!$Y$127)</f>
        <v>0</v>
      </c>
      <c r="BA11" s="621">
        <f>SUM([42]A05!$I$127,[42]A05!$K$127,[42]A05!$M$127,[42]A05!$O$127,[42]A05!$Q$127,[42]A05!$S$127,[42]A05!$U$127,[42]A05!$W$127,[42]A05!$Y$127)</f>
        <v>0</v>
      </c>
      <c r="BB11" s="621">
        <f>SUM([43]A05!$I$127,[43]A05!$K$127,[43]A05!$M$127,[43]A05!$O$127,[43]A05!$Q$127,[43]A05!$S$127,[43]A05!$U$127,[43]A05!$W$127,[43]A05!$Y$127)</f>
        <v>0</v>
      </c>
      <c r="BC11" s="274"/>
      <c r="BD11" s="621"/>
      <c r="BE11" s="621"/>
      <c r="BF11" s="621"/>
      <c r="BG11" s="621"/>
      <c r="BH11" s="620">
        <f t="shared" si="5"/>
        <v>0</v>
      </c>
      <c r="BI11" s="256"/>
      <c r="BJ11" s="621">
        <f>[37]A05!$C$186</f>
        <v>1</v>
      </c>
      <c r="BK11" s="621">
        <f>[38]A05!$C$186</f>
        <v>0</v>
      </c>
      <c r="BL11" s="621">
        <f>[39]A05!$C$186</f>
        <v>1</v>
      </c>
      <c r="BM11" s="621">
        <f>[40]A05!$C$186</f>
        <v>1</v>
      </c>
      <c r="BN11" s="621">
        <f>[41]A05!$C$186</f>
        <v>0</v>
      </c>
      <c r="BO11" s="621">
        <f>[42]A05!$C$186</f>
        <v>1</v>
      </c>
      <c r="BP11" s="621">
        <f>[43]A05!$C$186</f>
        <v>4</v>
      </c>
      <c r="BQ11" s="274"/>
      <c r="BR11" s="621"/>
      <c r="BS11" s="621"/>
      <c r="BT11" s="621"/>
      <c r="BU11" s="621"/>
      <c r="BV11" s="620">
        <f t="shared" si="6"/>
        <v>8</v>
      </c>
      <c r="BW11" s="256"/>
      <c r="BX11" s="611">
        <f>SUM([37]A05!$C$234,[37]A05!$AN$241,[37]A05!$AO$241,[37]A05!$AP$241)</f>
        <v>2</v>
      </c>
      <c r="BY11" s="611">
        <f>SUM([38]A05!$C$234,[38]A05!$AN$241,[38]A05!$AO$241,[38]A05!$AP$241)</f>
        <v>0</v>
      </c>
      <c r="BZ11" s="611">
        <f>SUM([39]A05!$C$234,[39]A05!$AN$241,[39]A05!$AO$241,[39]A05!$AP$241)</f>
        <v>1</v>
      </c>
      <c r="CA11" s="611">
        <f>SUM([40]A05!$C$234,[40]A05!$AN$241,[40]A05!$AO$241,[40]A05!$AP$241)</f>
        <v>1</v>
      </c>
      <c r="CB11" s="611">
        <f>SUM([41]A05!$C$234,[41]A05!$AN$241,[41]A05!$AO$241,[41]A05!$AP$241)</f>
        <v>3</v>
      </c>
      <c r="CC11" s="611">
        <f>SUM([42]A05!$C$234,[42]A05!$AN$241,[42]A05!$AO$241,[42]A05!$AP$241)</f>
        <v>1</v>
      </c>
      <c r="CD11" s="611">
        <f>SUM([43]A05!$C$234,[43]A05!$AN$241,[43]A05!$AO$241,[43]A05!$AP$241)</f>
        <v>1</v>
      </c>
      <c r="CE11" s="256"/>
      <c r="CF11" s="434"/>
      <c r="CG11" s="434"/>
      <c r="CH11" s="434"/>
      <c r="CI11" s="434"/>
      <c r="CJ11" s="262">
        <f t="shared" si="7"/>
        <v>9</v>
      </c>
      <c r="CK11" s="256"/>
      <c r="CL11" s="611">
        <f>SUM([37]A09!$G$12:$AB$12)</f>
        <v>10</v>
      </c>
      <c r="CM11" s="611">
        <f>SUM([38]A09!$G$12:$AB$12)</f>
        <v>10</v>
      </c>
      <c r="CN11" s="611">
        <f>SUM([39]A09!$G$12:$AB$12)</f>
        <v>8</v>
      </c>
      <c r="CO11" s="611">
        <f>SUM([40]A09!$G$12:$AB$12)</f>
        <v>6</v>
      </c>
      <c r="CP11" s="611">
        <f>SUM([41]A09!$G$12:$AB$12)</f>
        <v>3</v>
      </c>
      <c r="CQ11" s="611">
        <f>SUM([42]A09!$G$12:$AB$12)</f>
        <v>2</v>
      </c>
      <c r="CR11" s="611">
        <f>SUM([43]A09!$G$12:$AB$12)</f>
        <v>0</v>
      </c>
      <c r="CS11" s="256"/>
      <c r="CT11" s="434"/>
      <c r="CU11" s="434"/>
      <c r="CV11" s="434"/>
      <c r="CW11" s="434"/>
      <c r="CX11" s="262">
        <f t="shared" si="8"/>
        <v>39</v>
      </c>
      <c r="CY11" s="256"/>
      <c r="CZ11" s="611">
        <f>SUM([37]A09!$G$48:$L$48)</f>
        <v>0</v>
      </c>
      <c r="DA11" s="611">
        <f>SUM([38]A09!$G$48:$L$48)</f>
        <v>0</v>
      </c>
      <c r="DB11" s="611">
        <f>SUM([39]A09!$G$48:$L$48)</f>
        <v>1</v>
      </c>
      <c r="DC11" s="611">
        <f>SUM([40]A09!$G$48:$L$48)</f>
        <v>1</v>
      </c>
      <c r="DD11" s="611">
        <f>SUM([41]A09!$G$48:$L$48)</f>
        <v>0</v>
      </c>
      <c r="DE11" s="611">
        <f>SUM([42]A09!$G$48:$L$48)</f>
        <v>0</v>
      </c>
      <c r="DF11" s="611">
        <f>SUM([43]A09!$G$48:$L$48)</f>
        <v>0</v>
      </c>
      <c r="DG11" s="256"/>
      <c r="DH11" s="434"/>
      <c r="DI11" s="434"/>
      <c r="DJ11" s="434"/>
      <c r="DK11" s="434"/>
      <c r="DL11" s="262">
        <f t="shared" si="9"/>
        <v>2</v>
      </c>
      <c r="DM11" s="287"/>
      <c r="DN11" s="436">
        <f t="shared" si="0"/>
        <v>23</v>
      </c>
      <c r="DO11" s="436">
        <f t="shared" si="0"/>
        <v>8</v>
      </c>
      <c r="DP11" s="436">
        <f t="shared" si="0"/>
        <v>26</v>
      </c>
      <c r="DQ11" s="436">
        <f t="shared" si="0"/>
        <v>17</v>
      </c>
      <c r="DR11" s="436">
        <f t="shared" si="0"/>
        <v>18</v>
      </c>
      <c r="DS11" s="436">
        <f t="shared" si="0"/>
        <v>9</v>
      </c>
      <c r="DT11" s="436">
        <f t="shared" si="0"/>
        <v>21</v>
      </c>
      <c r="DU11" s="436">
        <f t="shared" si="0"/>
        <v>0</v>
      </c>
      <c r="DV11" s="436">
        <f t="shared" si="10"/>
        <v>0</v>
      </c>
      <c r="DW11" s="436">
        <f t="shared" si="11"/>
        <v>0</v>
      </c>
      <c r="DX11" s="436">
        <f t="shared" si="12"/>
        <v>0</v>
      </c>
      <c r="DY11" s="436">
        <f t="shared" si="1"/>
        <v>0</v>
      </c>
      <c r="DZ11" s="262">
        <f t="shared" si="13"/>
        <v>122</v>
      </c>
      <c r="EA11" s="256"/>
      <c r="EB11" s="623">
        <f>SUM([37]A06!$C$22:$C$23,[37]A06!$E$32)</f>
        <v>19</v>
      </c>
      <c r="EC11" s="623">
        <f>SUM([38]A06!$C$22:$C$23,[38]A06!$E$32)</f>
        <v>0</v>
      </c>
      <c r="ED11" s="623">
        <f>SUM([39]A06!$C$22:$C$23,[39]A06!$E$32)</f>
        <v>23</v>
      </c>
      <c r="EE11" s="623">
        <f>SUM([40]A06!$C$22:$C$23,[40]A06!$E$32)</f>
        <v>12</v>
      </c>
      <c r="EF11" s="623">
        <f>SUM([41]A06!$C$22:$C$23,[41]A06!$E$32)</f>
        <v>17</v>
      </c>
      <c r="EG11" s="623">
        <f>SUM([42]A06!$C$22:$C$23,[42]A06!$E$32)</f>
        <v>8</v>
      </c>
      <c r="EH11" s="623">
        <f>SUM([43]A06!$C$22:$C$23,[43]A06!$E$32)</f>
        <v>21</v>
      </c>
      <c r="EJ11" s="437"/>
      <c r="EK11" s="437"/>
      <c r="EL11" s="437"/>
      <c r="EM11" s="437"/>
      <c r="EN11" s="262">
        <f t="shared" si="14"/>
        <v>100</v>
      </c>
      <c r="EP11" s="624">
        <f>SUM([37]A19a!$C$97,$C$99)</f>
        <v>0</v>
      </c>
      <c r="EQ11" s="624">
        <f>SUM([38]A19a!$C$97,$C$99)</f>
        <v>0</v>
      </c>
      <c r="ER11" s="624">
        <f>SUM([39]A19a!$C$97,$C$99)</f>
        <v>0</v>
      </c>
      <c r="ES11" s="624">
        <f>SUM([40]A19a!$C$97,$C$99)</f>
        <v>0</v>
      </c>
      <c r="ET11" s="624">
        <f>SUM([41]A19a!$C$97,$C$99)</f>
        <v>0</v>
      </c>
      <c r="EU11" s="624">
        <f>SUM([42]A19a!$C$97,$C$99)</f>
        <v>0</v>
      </c>
      <c r="EV11" s="624">
        <f>SUM([43]A19a!$C$97,$C$99)</f>
        <v>0</v>
      </c>
      <c r="EX11" s="437"/>
      <c r="EY11" s="437"/>
      <c r="EZ11" s="437"/>
      <c r="FA11" s="437"/>
      <c r="FB11" s="262">
        <f t="shared" si="15"/>
        <v>0</v>
      </c>
      <c r="FD11" s="624">
        <f>SUM([37]A26!$C$30:$C$31,[37]A26!$C$38:$E$38)</f>
        <v>2</v>
      </c>
      <c r="FE11" s="624">
        <f>SUM([38]A26!$C$30:$C$31,[38]A26!$C$38:$E$38)</f>
        <v>0</v>
      </c>
      <c r="FF11" s="624">
        <f>SUM([39]A26!$C$30:$C$31,[39]A26!$C$38:$E$38)</f>
        <v>1</v>
      </c>
      <c r="FG11" s="624">
        <f>SUM([40]A26!$C$30:$C$31,[40]A26!$C$38:$E$38)</f>
        <v>3</v>
      </c>
      <c r="FH11" s="624">
        <f>SUM([41]A26!$C$30:$C$31,[41]A26!$C$38:$E$38)</f>
        <v>0</v>
      </c>
      <c r="FI11" s="624">
        <f>SUM([42]A26!$C$30:$C$31,[42]A26!$C$38:$E$38)</f>
        <v>0</v>
      </c>
      <c r="FJ11" s="624">
        <f>SUM([43]A26!$C$30:$C$31,[43]A26!$C$38:$E$38)</f>
        <v>0</v>
      </c>
      <c r="FL11" s="437"/>
      <c r="FM11" s="437"/>
      <c r="FN11" s="437"/>
      <c r="FO11" s="437"/>
      <c r="FP11" s="262">
        <f t="shared" si="16"/>
        <v>6</v>
      </c>
      <c r="FR11" s="624">
        <f>SUM([37]A32!$B$127:$B$129,[37]A32!$C$144,[37]A32!$C$155)</f>
        <v>0</v>
      </c>
      <c r="FS11" s="624">
        <f>SUM([38]A32!$B$127:$B$129,[38]A32!$C$144,[38]A32!$C$155)</f>
        <v>0</v>
      </c>
      <c r="FT11" s="624">
        <f>SUM([39]A32!$B$127:$B$129,[39]A32!$C$144,[39]A32!$C$155)</f>
        <v>0</v>
      </c>
      <c r="FU11" s="624">
        <f>SUM([40]A32!$B$127:$B$129,[40]A32!$C$144,[40]A32!$C$155)</f>
        <v>0</v>
      </c>
      <c r="FV11" s="624">
        <f>SUM([41]A32!$B$127:$B$129,[41]A32!$C$144,[41]A32!$C$155)</f>
        <v>0</v>
      </c>
      <c r="FW11" s="624">
        <f>SUM([42]A32!$B$127:$B$129,[42]A32!$C$144,[42]A32!$C$155)</f>
        <v>0</v>
      </c>
      <c r="FX11" s="624">
        <f>SUM([43]A32!$B$127:$B$129,[43]A32!$C$144,[43]A32!$C$155)</f>
        <v>0</v>
      </c>
      <c r="FZ11" s="437"/>
      <c r="GA11" s="437"/>
      <c r="GB11" s="437"/>
      <c r="GC11" s="437"/>
      <c r="GD11" s="262">
        <f t="shared" si="17"/>
        <v>0</v>
      </c>
      <c r="GF11" s="624">
        <f>SUM([37]A04!$B$24)</f>
        <v>2</v>
      </c>
      <c r="GG11" s="624">
        <f>SUM([38]A04!$B$24)</f>
        <v>8</v>
      </c>
      <c r="GH11" s="624">
        <f>SUM([39]A04!$B$24)</f>
        <v>2</v>
      </c>
      <c r="GI11" s="624">
        <f>SUM([40]A04!$B$24)</f>
        <v>2</v>
      </c>
      <c r="GJ11" s="624">
        <f>SUM([41]A04!$B$24)</f>
        <v>1</v>
      </c>
      <c r="GK11" s="624">
        <f>SUM([42]A04!$B$24)</f>
        <v>1</v>
      </c>
      <c r="GL11" s="624">
        <f>SUM([43]A04!$B$24)</f>
        <v>0</v>
      </c>
      <c r="GN11" s="437"/>
      <c r="GO11" s="437"/>
      <c r="GP11" s="437"/>
      <c r="GQ11" s="437"/>
      <c r="GR11" s="262">
        <f t="shared" si="18"/>
        <v>16</v>
      </c>
    </row>
    <row r="12" spans="2:200" ht="13.5" thickBot="1" x14ac:dyDescent="0.25">
      <c r="B12" s="152">
        <v>107756</v>
      </c>
      <c r="C12" s="153" t="s">
        <v>101</v>
      </c>
      <c r="D12" s="248"/>
      <c r="E12" s="621">
        <f>SUM([44]A05!$H$114,[44]A05!$J$114,[44]A05!$L$114,[44]A05!$N$114,[44]A05!$P$114,[44]A05!$R$114,[44]A05!$T$114,[44]A05!$V$114,[44]A05!$X$114)</f>
        <v>2</v>
      </c>
      <c r="F12" s="621">
        <f>SUM([45]A05!$H$114,[45]A05!$J$114,[45]A05!$L$114,[45]A05!$N$114,[45]A05!$P$114,[45]A05!$R$114,[45]A05!$T$114,[45]A05!$V$114,[45]A05!$X$114)</f>
        <v>6</v>
      </c>
      <c r="G12" s="621">
        <f>SUM([46]A05!$H$114,[46]A05!$J$114,[46]A05!$L$114,[46]A05!$N$114,[46]A05!$P$114,[46]A05!$R$114,[46]A05!$T$114,[46]A05!$V$114,[46]A05!$X$114)</f>
        <v>1</v>
      </c>
      <c r="H12" s="621">
        <f>SUM([47]A05!$H$114,[47]A05!$J$114,[47]A05!$L$114,[47]A05!$N$114,[47]A05!$P$114,[47]A05!$R$114,[47]A05!$T$114,[47]A05!$V$114,[47]A05!$X$114)</f>
        <v>9</v>
      </c>
      <c r="I12" s="621">
        <f>SUM([48]A05!$H$114,[48]A05!$J$114,[48]A05!$L$114,[48]A05!$N$114,[48]A05!$P$114,[48]A05!$R$114,[48]A05!$T$114,[48]A05!$V$114,[48]A05!$X$114)</f>
        <v>6</v>
      </c>
      <c r="J12" s="621">
        <f>SUM([49]A05!$H$114,[49]A05!$J$114,[49]A05!$L$114,[49]A05!$N$114,[49]A05!$P$114,[49]A05!$R$114,[49]A05!$T$114,[49]A05!$V$114,[49]A05!$X$114)</f>
        <v>3</v>
      </c>
      <c r="K12" s="621">
        <f>SUM([50]A05!$H$114,[50]A05!$J$114,[50]A05!$L$114,[50]A05!$N$114,[50]A05!$P$114,[50]A05!$R$114,[50]A05!$T$114,[50]A05!$V$114,[50]A05!$X$114)</f>
        <v>2</v>
      </c>
      <c r="L12" s="274"/>
      <c r="M12" s="621"/>
      <c r="N12" s="621"/>
      <c r="O12" s="621"/>
      <c r="P12" s="621"/>
      <c r="Q12" s="620">
        <f t="shared" si="2"/>
        <v>29</v>
      </c>
      <c r="R12" s="248"/>
      <c r="S12" s="621">
        <f>SUM([44]A05!$I$114,[44]A05!$K$114,[44]A05!$M$114,[44]A05!$O$114,[44]A05!$Q$114,[44]A05!$S$114,[44]A05!$U$114,[44]A05!$W$114,[44]A05!$Y$114)</f>
        <v>4</v>
      </c>
      <c r="T12" s="621">
        <f>SUM([45]A05!$I$114,[45]A05!$K$114,[45]A05!$M$114,[45]A05!$O$114,[45]A05!$Q$114,[45]A05!$S$114,[45]A05!$U$114,[45]A05!$W$114,[45]A05!$Y$114)</f>
        <v>8</v>
      </c>
      <c r="U12" s="621">
        <f>SUM([46]A05!$I$114,[46]A05!$K$114,[46]A05!$M$114,[46]A05!$O$114,[46]A05!$Q$114,[46]A05!$S$114,[46]A05!$U$114,[46]A05!$W$114,[46]A05!$Y$114)</f>
        <v>4</v>
      </c>
      <c r="V12" s="621">
        <f>SUM([47]A05!$I$114,[47]A05!$K$114,[47]A05!$M$114,[47]A05!$O$114,[47]A05!$Q$114,[47]A05!$S$114,[47]A05!$U$114,[47]A05!$W$114,[47]A05!$Y$114)</f>
        <v>5</v>
      </c>
      <c r="W12" s="621">
        <f>SUM([48]A05!$I$114,[48]A05!$K$114,[48]A05!$M$114,[48]A05!$O$114,[48]A05!$Q$114,[48]A05!$S$114,[48]A05!$U$114,[48]A05!$W$114,[48]A05!$Y$114)</f>
        <v>6</v>
      </c>
      <c r="X12" s="621">
        <f>SUM([49]A05!$I$114,[49]A05!$K$114,[49]A05!$M$114,[49]A05!$O$114,[49]A05!$Q$114,[49]A05!$S$114,[49]A05!$U$114,[49]A05!$W$114,[49]A05!$Y$114)</f>
        <v>5</v>
      </c>
      <c r="Y12" s="621">
        <f>SUM([50]A05!$I$114,[50]A05!$K$114,[50]A05!$M$114,[50]A05!$O$114,[50]A05!$Q$114,[50]A05!$S$114,[50]A05!$U$114,[50]A05!$W$114,[50]A05!$Y$114)</f>
        <v>5</v>
      </c>
      <c r="Z12" s="274"/>
      <c r="AA12" s="621"/>
      <c r="AB12" s="621"/>
      <c r="AC12" s="621"/>
      <c r="AD12" s="621"/>
      <c r="AE12" s="620">
        <f t="shared" si="3"/>
        <v>37</v>
      </c>
      <c r="AF12" s="248"/>
      <c r="AG12" s="248"/>
      <c r="AH12" s="621">
        <f>SUM([44]A05!$H$127,[44]A05!$J$127,[44]A05!$L$127,[44]A05!$N$127,[44]A05!$P$127,[44]A05!$R$127,[44]A05!$T$127,[44]A05!$V$127,[44]A05!$X$127)</f>
        <v>1</v>
      </c>
      <c r="AI12" s="621">
        <f>SUM([45]A05!$H$127,[45]A05!$J$127,[45]A05!$L$127,[45]A05!$N$127,[45]A05!$P$127,[45]A05!$R$127,[45]A05!$T$127,[45]A05!$V$127,[45]A05!$X$127)</f>
        <v>0</v>
      </c>
      <c r="AJ12" s="621">
        <f>SUM([46]A05!$H$127,[46]A05!$J$127,[46]A05!$L$127,[46]A05!$N$127,[46]A05!$P$127,[46]A05!$R$127,[46]A05!$T$127,[46]A05!$V$127,[46]A05!$X$127)</f>
        <v>0</v>
      </c>
      <c r="AK12" s="621">
        <f>SUM([47]A05!$H$127,[47]A05!$J$127,[47]A05!$L$127,[47]A05!$N$127,[47]A05!$P$127,[47]A05!$R$127,[47]A05!$T$127,[47]A05!$V$127,[47]A05!$X$127)</f>
        <v>0</v>
      </c>
      <c r="AL12" s="621">
        <f>SUM([48]A05!$H$127,[48]A05!$J$127,[48]A05!$L$127,[48]A05!$N$127,[48]A05!$P$127,[48]A05!$R$127,[48]A05!$T$127,[48]A05!$V$127,[48]A05!$X$127)</f>
        <v>0</v>
      </c>
      <c r="AM12" s="621">
        <f>SUM([49]A05!$H$127,[49]A05!$J$127,[49]A05!$L$127,[49]A05!$N$127,[49]A05!$P$127,[49]A05!$R$127,[49]A05!$T$127,[49]A05!$V$127,[49]A05!$X$127)</f>
        <v>0</v>
      </c>
      <c r="AN12" s="621">
        <f>SUM([50]A05!$H$127,[50]A05!$J$127,[50]A05!$L$127,[50]A05!$N$127,[50]A05!$P$127,[50]A05!$R$127,[50]A05!$T$127,[50]A05!$V$127,[50]A05!$X$127)</f>
        <v>0</v>
      </c>
      <c r="AO12" s="274"/>
      <c r="AP12" s="621"/>
      <c r="AQ12" s="621"/>
      <c r="AR12" s="621"/>
      <c r="AS12" s="621"/>
      <c r="AT12" s="620">
        <f t="shared" si="4"/>
        <v>1</v>
      </c>
      <c r="AU12" s="256"/>
      <c r="AV12" s="621">
        <f>SUM([44]A05!$I$127,[44]A05!$K$127,[44]A05!$M$127,[44]A05!$O$127,[44]A05!$Q$127,[44]A05!$S$127,[44]A05!$U$127,[44]A05!$W$127,[44]A05!$Y$127)</f>
        <v>1</v>
      </c>
      <c r="AW12" s="621">
        <f>SUM([45]A05!$I$127,[45]A05!$K$127,[45]A05!$M$127,[45]A05!$O$127,[45]A05!$Q$127,[45]A05!$S$127,[45]A05!$U$127,[45]A05!$W$127,[45]A05!$Y$127)</f>
        <v>0</v>
      </c>
      <c r="AX12" s="621">
        <f>SUM([46]A05!$I$127,[46]A05!$K$127,[46]A05!$M$127,[46]A05!$O$127,[46]A05!$Q$127,[46]A05!$S$127,[46]A05!$U$127,[46]A05!$W$127,[46]A05!$Y$127)</f>
        <v>0</v>
      </c>
      <c r="AY12" s="621">
        <f>SUM([47]A05!$I$127,[47]A05!$K$127,[47]A05!$M$127,[47]A05!$O$127,[47]A05!$Q$127,[47]A05!$S$127,[47]A05!$U$127,[47]A05!$W$127,[47]A05!$Y$127)</f>
        <v>0</v>
      </c>
      <c r="AZ12" s="621">
        <f>SUM([48]A05!$I$127,[48]A05!$K$127,[48]A05!$M$127,[48]A05!$O$127,[48]A05!$Q$127,[48]A05!$S$127,[48]A05!$U$127,[48]A05!$W$127,[48]A05!$Y$127)</f>
        <v>0</v>
      </c>
      <c r="BA12" s="621">
        <f>SUM([49]A05!$I$127,[49]A05!$K$127,[49]A05!$M$127,[49]A05!$O$127,[49]A05!$Q$127,[49]A05!$S$127,[49]A05!$U$127,[49]A05!$W$127,[49]A05!$Y$127)</f>
        <v>3</v>
      </c>
      <c r="BB12" s="621">
        <f>SUM([50]A05!$I$127,[50]A05!$K$127,[50]A05!$M$127,[50]A05!$O$127,[50]A05!$Q$127,[50]A05!$S$127,[50]A05!$U$127,[50]A05!$W$127,[50]A05!$Y$127)</f>
        <v>0</v>
      </c>
      <c r="BC12" s="274"/>
      <c r="BD12" s="621"/>
      <c r="BE12" s="621"/>
      <c r="BF12" s="621"/>
      <c r="BG12" s="621"/>
      <c r="BH12" s="620">
        <f t="shared" si="5"/>
        <v>4</v>
      </c>
      <c r="BI12" s="256"/>
      <c r="BJ12" s="621">
        <f>[44]A05!$C$186</f>
        <v>29</v>
      </c>
      <c r="BK12" s="621">
        <f>[45]A05!$C$186</f>
        <v>9</v>
      </c>
      <c r="BL12" s="621">
        <f>[46]A05!$C$186</f>
        <v>22</v>
      </c>
      <c r="BM12" s="621">
        <f>[47]A05!$C$186</f>
        <v>14</v>
      </c>
      <c r="BN12" s="621">
        <f>[48]A05!$C$186</f>
        <v>10</v>
      </c>
      <c r="BO12" s="621">
        <f>[49]A05!$C$186</f>
        <v>16</v>
      </c>
      <c r="BP12" s="621">
        <f>[50]A05!$C$186</f>
        <v>20</v>
      </c>
      <c r="BQ12" s="274"/>
      <c r="BR12" s="621"/>
      <c r="BS12" s="621"/>
      <c r="BT12" s="621"/>
      <c r="BU12" s="621"/>
      <c r="BV12" s="620">
        <f t="shared" si="6"/>
        <v>120</v>
      </c>
      <c r="BW12" s="256"/>
      <c r="BX12" s="611">
        <f>SUM([44]A05!$C$234,[44]A05!$AN$241,[44]A05!$AO$241,[44]A05!$AP$241)</f>
        <v>3</v>
      </c>
      <c r="BY12" s="611">
        <f>SUM([45]A05!$C$234,[45]A05!$AN$241,[45]A05!$AO$241,[45]A05!$AP$241)</f>
        <v>0</v>
      </c>
      <c r="BZ12" s="611">
        <f>SUM([46]A05!$C$234,[46]A05!$AN$241,[46]A05!$AO$241,[46]A05!$AP$241)</f>
        <v>2</v>
      </c>
      <c r="CA12" s="611">
        <f>SUM([47]A05!$C$234,[47]A05!$AN$241,[47]A05!$AO$241,[47]A05!$AP$241)</f>
        <v>8</v>
      </c>
      <c r="CB12" s="611">
        <f>SUM([48]A05!$C$234,[48]A05!$AN$241,[48]A05!$AO$241,[48]A05!$AP$241)</f>
        <v>0</v>
      </c>
      <c r="CC12" s="611">
        <f>SUM([49]A05!$C$234,[49]A05!$AN$241,[49]A05!$AO$241,[49]A05!$AP$241)</f>
        <v>41</v>
      </c>
      <c r="CD12" s="611">
        <f>SUM([50]A05!$C$234,[50]A05!$AN$241,[50]A05!$AO$241,[50]A05!$AP$241)</f>
        <v>6</v>
      </c>
      <c r="CE12" s="256"/>
      <c r="CF12" s="434"/>
      <c r="CG12" s="434"/>
      <c r="CH12" s="434"/>
      <c r="CI12" s="434"/>
      <c r="CJ12" s="262">
        <f t="shared" si="7"/>
        <v>60</v>
      </c>
      <c r="CK12" s="256"/>
      <c r="CL12" s="611">
        <f>SUM([44]A09!$G$12:$AB$12)</f>
        <v>42</v>
      </c>
      <c r="CM12" s="611">
        <f>SUM([45]A09!$G$12:$AB$12)</f>
        <v>97</v>
      </c>
      <c r="CN12" s="611">
        <f>SUM([46]A09!$G$12:$AB$12)</f>
        <v>32</v>
      </c>
      <c r="CO12" s="611">
        <f>SUM([47]A09!$G$12:$AB$12)</f>
        <v>25</v>
      </c>
      <c r="CP12" s="611">
        <f>SUM([48]A09!$G$12:$AB$12)</f>
        <v>45</v>
      </c>
      <c r="CQ12" s="611">
        <f>SUM([49]A09!$G$12:$AB$12)</f>
        <v>27</v>
      </c>
      <c r="CR12" s="611">
        <f>SUM([50]A09!$G$12:$AB$12)</f>
        <v>41</v>
      </c>
      <c r="CS12" s="256"/>
      <c r="CT12" s="434"/>
      <c r="CU12" s="434"/>
      <c r="CV12" s="434"/>
      <c r="CW12" s="434"/>
      <c r="CX12" s="262">
        <f t="shared" si="8"/>
        <v>309</v>
      </c>
      <c r="CY12" s="256"/>
      <c r="CZ12" s="611">
        <f>SUM([44]A09!$G$48:$L$48)</f>
        <v>6</v>
      </c>
      <c r="DA12" s="611">
        <f>SUM([45]A09!$G$48:$L$48)</f>
        <v>6</v>
      </c>
      <c r="DB12" s="611">
        <f>SUM([46]A09!$G$48:$L$48)</f>
        <v>6</v>
      </c>
      <c r="DC12" s="611">
        <f>SUM([47]A09!$G$48:$L$48)</f>
        <v>1</v>
      </c>
      <c r="DD12" s="611">
        <f>SUM([48]A09!$G$48:$L$48)</f>
        <v>7</v>
      </c>
      <c r="DE12" s="611">
        <f>SUM([49]A09!$G$48:$L$48)</f>
        <v>12</v>
      </c>
      <c r="DF12" s="611">
        <f>SUM([50]A09!$G$48:$L$48)</f>
        <v>7</v>
      </c>
      <c r="DG12" s="256"/>
      <c r="DH12" s="434"/>
      <c r="DI12" s="434"/>
      <c r="DJ12" s="434"/>
      <c r="DK12" s="434"/>
      <c r="DL12" s="262">
        <f t="shared" si="9"/>
        <v>45</v>
      </c>
      <c r="DM12" s="287"/>
      <c r="DN12" s="436">
        <f t="shared" si="0"/>
        <v>189</v>
      </c>
      <c r="DO12" s="436">
        <f t="shared" si="0"/>
        <v>67</v>
      </c>
      <c r="DP12" s="436">
        <f t="shared" si="0"/>
        <v>163</v>
      </c>
      <c r="DQ12" s="436">
        <f t="shared" si="0"/>
        <v>181</v>
      </c>
      <c r="DR12" s="436">
        <f t="shared" si="0"/>
        <v>150</v>
      </c>
      <c r="DS12" s="436">
        <f t="shared" si="0"/>
        <v>115</v>
      </c>
      <c r="DT12" s="436">
        <f t="shared" si="0"/>
        <v>126</v>
      </c>
      <c r="DU12" s="436">
        <f t="shared" si="0"/>
        <v>0</v>
      </c>
      <c r="DV12" s="436">
        <f t="shared" si="10"/>
        <v>0</v>
      </c>
      <c r="DW12" s="436">
        <f t="shared" si="11"/>
        <v>0</v>
      </c>
      <c r="DX12" s="436">
        <f t="shared" si="12"/>
        <v>0</v>
      </c>
      <c r="DY12" s="436">
        <f t="shared" si="1"/>
        <v>0</v>
      </c>
      <c r="DZ12" s="262">
        <f t="shared" si="13"/>
        <v>991</v>
      </c>
      <c r="EA12" s="256"/>
      <c r="EB12" s="623">
        <f>SUM([44]A06!$C$22:$C$23,[44]A06!$E$32)</f>
        <v>169</v>
      </c>
      <c r="EC12" s="623">
        <f>SUM([45]A06!$C$22:$C$23,[45]A06!$E$32)</f>
        <v>54</v>
      </c>
      <c r="ED12" s="623">
        <f>SUM([46]A06!$C$22:$C$23,[46]A06!$E$32)</f>
        <v>159</v>
      </c>
      <c r="EE12" s="623">
        <f>SUM([47]A06!$C$22:$C$23,[47]A06!$E$32)</f>
        <v>170</v>
      </c>
      <c r="EF12" s="623">
        <f>SUM([48]A06!$C$22:$C$23,[48]A06!$E$32)</f>
        <v>138</v>
      </c>
      <c r="EG12" s="623">
        <f>SUM([49]A06!$C$22:$C$23,[49]A06!$E$32)</f>
        <v>91</v>
      </c>
      <c r="EH12" s="623">
        <f>SUM([50]A06!$C$22:$C$23,[50]A06!$E$32)</f>
        <v>94</v>
      </c>
      <c r="EJ12" s="437"/>
      <c r="EK12" s="437"/>
      <c r="EL12" s="437"/>
      <c r="EM12" s="437"/>
      <c r="EN12" s="262">
        <f t="shared" si="14"/>
        <v>875</v>
      </c>
      <c r="EP12" s="624">
        <f>SUM([44]A19a!$C$97,$C$99)</f>
        <v>0</v>
      </c>
      <c r="EQ12" s="624">
        <f>SUM([45]A19a!$C$97,$C$99)</f>
        <v>0</v>
      </c>
      <c r="ER12" s="624">
        <f>SUM([46]A19a!$C$97,$C$99)</f>
        <v>0</v>
      </c>
      <c r="ES12" s="624">
        <f>SUM([47]A19a!$C$97,$C$99)</f>
        <v>0</v>
      </c>
      <c r="ET12" s="624">
        <f>SUM([48]A19a!$C$97,$C$99)</f>
        <v>0</v>
      </c>
      <c r="EU12" s="624">
        <f>SUM([49]A19a!$C$97,$C$99)</f>
        <v>0</v>
      </c>
      <c r="EV12" s="624">
        <f>SUM([50]A19a!$C$97,$C$99)</f>
        <v>0</v>
      </c>
      <c r="EX12" s="437"/>
      <c r="EY12" s="437"/>
      <c r="EZ12" s="437"/>
      <c r="FA12" s="437"/>
      <c r="FB12" s="262">
        <f t="shared" si="15"/>
        <v>0</v>
      </c>
      <c r="FD12" s="624">
        <f>SUM([44]A26!$C$30:$C$31,[44]A26!$C$38:$E$38)</f>
        <v>20</v>
      </c>
      <c r="FE12" s="624">
        <f>SUM([45]A26!$C$30:$C$31,[45]A26!$C$38:$E$38)</f>
        <v>13</v>
      </c>
      <c r="FF12" s="624">
        <f>SUM([46]A26!$C$30:$C$31,[46]A26!$C$38:$E$38)</f>
        <v>4</v>
      </c>
      <c r="FG12" s="624">
        <f>SUM([47]A26!$C$30:$C$31,[47]A26!$C$38:$E$38)</f>
        <v>11</v>
      </c>
      <c r="FH12" s="624">
        <f>SUM([48]A26!$C$30:$C$31,[48]A26!$C$38:$E$38)</f>
        <v>12</v>
      </c>
      <c r="FI12" s="624">
        <f>SUM([49]A26!$C$30:$C$31,[49]A26!$C$38:$E$38)</f>
        <v>23</v>
      </c>
      <c r="FJ12" s="624">
        <f>SUM([50]A26!$C$30:$C$31,[50]A26!$C$38:$E$38)</f>
        <v>32</v>
      </c>
      <c r="FL12" s="437"/>
      <c r="FM12" s="437"/>
      <c r="FN12" s="437"/>
      <c r="FO12" s="437"/>
      <c r="FP12" s="262">
        <f t="shared" si="16"/>
        <v>115</v>
      </c>
      <c r="FR12" s="624">
        <f>SUM([44]A32!$B$127:$B$129,[44]A32!$C$144,[44]A32!$C$155)</f>
        <v>0</v>
      </c>
      <c r="FS12" s="624">
        <f>SUM([45]A32!$B$127:$B$129,[45]A32!$C$144,[45]A32!$C$155)</f>
        <v>0</v>
      </c>
      <c r="FT12" s="624">
        <f>SUM([46]A32!$B$127:$B$129,[46]A32!$C$144,[46]A32!$C$155)</f>
        <v>0</v>
      </c>
      <c r="FU12" s="624">
        <f>SUM([47]A32!$B$127:$B$129,[47]A32!$C$144,[47]A32!$C$155)</f>
        <v>0</v>
      </c>
      <c r="FV12" s="624">
        <f>SUM([48]A32!$B$127:$B$129,[48]A32!$C$144,[48]A32!$C$155)</f>
        <v>0</v>
      </c>
      <c r="FW12" s="624">
        <f>SUM([49]A32!$B$127:$B$129,[49]A32!$C$144,[49]A32!$C$155)</f>
        <v>0</v>
      </c>
      <c r="FX12" s="624">
        <f>SUM([50]A32!$B$127:$B$129,[50]A32!$C$144,[50]A32!$C$155)</f>
        <v>0</v>
      </c>
      <c r="FZ12" s="437"/>
      <c r="GA12" s="437"/>
      <c r="GB12" s="437"/>
      <c r="GC12" s="437"/>
      <c r="GD12" s="262">
        <f t="shared" si="17"/>
        <v>0</v>
      </c>
      <c r="GF12" s="624">
        <f>SUM([44]A04!$B$24)</f>
        <v>0</v>
      </c>
      <c r="GG12" s="624">
        <f>SUM([45]A04!$B$24)</f>
        <v>0</v>
      </c>
      <c r="GH12" s="624">
        <f>SUM([46]A04!$B$24)</f>
        <v>0</v>
      </c>
      <c r="GI12" s="624">
        <f>SUM([47]A04!$B$24)</f>
        <v>0</v>
      </c>
      <c r="GJ12" s="624">
        <f>SUM([48]A04!$B$24)</f>
        <v>0</v>
      </c>
      <c r="GK12" s="624">
        <f>SUM([49]A04!$B$24)</f>
        <v>1</v>
      </c>
      <c r="GL12" s="624">
        <f>SUM([50]A04!$B$24)</f>
        <v>0</v>
      </c>
      <c r="GN12" s="437"/>
      <c r="GO12" s="437"/>
      <c r="GP12" s="437"/>
      <c r="GQ12" s="437"/>
      <c r="GR12" s="262">
        <f t="shared" si="18"/>
        <v>1</v>
      </c>
    </row>
    <row r="13" spans="2:200" ht="13.5" thickBot="1" x14ac:dyDescent="0.25">
      <c r="B13" s="298"/>
      <c r="C13" s="299" t="s">
        <v>202</v>
      </c>
      <c r="E13" s="269">
        <f>SUM(E6:E12)</f>
        <v>61</v>
      </c>
      <c r="F13" s="269">
        <f t="shared" ref="F13:P13" si="20">SUM(F6:F12)</f>
        <v>29</v>
      </c>
      <c r="G13" s="269">
        <f t="shared" si="20"/>
        <v>47</v>
      </c>
      <c r="H13" s="269">
        <f t="shared" si="20"/>
        <v>53</v>
      </c>
      <c r="I13" s="269">
        <f t="shared" si="20"/>
        <v>44</v>
      </c>
      <c r="J13" s="269">
        <f t="shared" si="20"/>
        <v>64</v>
      </c>
      <c r="K13" s="269">
        <f t="shared" si="20"/>
        <v>59</v>
      </c>
      <c r="L13" s="269">
        <f t="shared" si="20"/>
        <v>0</v>
      </c>
      <c r="M13" s="269">
        <f t="shared" si="20"/>
        <v>0</v>
      </c>
      <c r="N13" s="269">
        <f t="shared" si="20"/>
        <v>0</v>
      </c>
      <c r="O13" s="269">
        <f t="shared" si="20"/>
        <v>0</v>
      </c>
      <c r="P13" s="269">
        <f t="shared" si="20"/>
        <v>0</v>
      </c>
      <c r="Q13" s="269">
        <f>SUM(Q6:Q12)</f>
        <v>357</v>
      </c>
      <c r="S13" s="269">
        <f>SUM(S6:S12)</f>
        <v>92</v>
      </c>
      <c r="T13" s="269">
        <f t="shared" ref="T13:AD13" si="21">SUM(T6:T12)</f>
        <v>56</v>
      </c>
      <c r="U13" s="269">
        <f t="shared" si="21"/>
        <v>68</v>
      </c>
      <c r="V13" s="269">
        <f t="shared" si="21"/>
        <v>76</v>
      </c>
      <c r="W13" s="269">
        <f t="shared" si="21"/>
        <v>71</v>
      </c>
      <c r="X13" s="269">
        <f t="shared" si="21"/>
        <v>95</v>
      </c>
      <c r="Y13" s="269">
        <f t="shared" si="21"/>
        <v>95</v>
      </c>
      <c r="Z13" s="269">
        <f t="shared" si="21"/>
        <v>0</v>
      </c>
      <c r="AA13" s="269">
        <f t="shared" si="21"/>
        <v>0</v>
      </c>
      <c r="AB13" s="269">
        <f t="shared" si="21"/>
        <v>0</v>
      </c>
      <c r="AC13" s="269">
        <f t="shared" si="21"/>
        <v>0</v>
      </c>
      <c r="AD13" s="269">
        <f t="shared" si="21"/>
        <v>0</v>
      </c>
      <c r="AE13" s="269">
        <f>SUM(AE6:AE12)</f>
        <v>553</v>
      </c>
      <c r="AH13" s="269">
        <f>SUM(AH6:AH12)</f>
        <v>10</v>
      </c>
      <c r="AI13" s="269">
        <f t="shared" ref="AI13:AS13" si="22">SUM(AI6:AI12)</f>
        <v>5</v>
      </c>
      <c r="AJ13" s="269">
        <f t="shared" si="22"/>
        <v>0</v>
      </c>
      <c r="AK13" s="269">
        <f t="shared" si="22"/>
        <v>4</v>
      </c>
      <c r="AL13" s="269">
        <f t="shared" si="22"/>
        <v>1</v>
      </c>
      <c r="AM13" s="269">
        <f t="shared" ref="AM13" si="23">SUM(AM6:AM12)</f>
        <v>15</v>
      </c>
      <c r="AN13" s="269">
        <f t="shared" si="22"/>
        <v>10</v>
      </c>
      <c r="AO13" s="269">
        <f t="shared" si="22"/>
        <v>0</v>
      </c>
      <c r="AP13" s="269">
        <f t="shared" si="22"/>
        <v>0</v>
      </c>
      <c r="AQ13" s="269">
        <f t="shared" si="22"/>
        <v>0</v>
      </c>
      <c r="AR13" s="269">
        <f t="shared" si="22"/>
        <v>0</v>
      </c>
      <c r="AS13" s="269">
        <f t="shared" si="22"/>
        <v>0</v>
      </c>
      <c r="AT13" s="269">
        <f>SUM(AT6:AT12)</f>
        <v>45</v>
      </c>
      <c r="AU13" s="256"/>
      <c r="AV13" s="469">
        <f>SUM(AV6:AV12)</f>
        <v>10</v>
      </c>
      <c r="AW13" s="269">
        <f t="shared" ref="AW13" si="24">SUM(AW6:AW12)</f>
        <v>11</v>
      </c>
      <c r="AX13" s="269">
        <f t="shared" ref="AX13" si="25">SUM(AX6:AX12)</f>
        <v>1</v>
      </c>
      <c r="AY13" s="269">
        <f t="shared" ref="AY13" si="26">SUM(AY6:AY12)</f>
        <v>10</v>
      </c>
      <c r="AZ13" s="269">
        <f t="shared" ref="AZ13:BA13" si="27">SUM(AZ6:AZ12)</f>
        <v>5</v>
      </c>
      <c r="BA13" s="269">
        <f t="shared" si="27"/>
        <v>17</v>
      </c>
      <c r="BB13" s="269">
        <f t="shared" ref="BB13" si="28">SUM(BB6:BB12)</f>
        <v>9</v>
      </c>
      <c r="BC13" s="269">
        <f t="shared" ref="BC13" si="29">SUM(BC6:BC12)</f>
        <v>0</v>
      </c>
      <c r="BD13" s="269">
        <f t="shared" ref="BD13" si="30">SUM(BD6:BD12)</f>
        <v>0</v>
      </c>
      <c r="BE13" s="269">
        <f t="shared" ref="BE13" si="31">SUM(BE6:BE12)</f>
        <v>0</v>
      </c>
      <c r="BF13" s="269">
        <f t="shared" ref="BF13" si="32">SUM(BF6:BF12)</f>
        <v>0</v>
      </c>
      <c r="BG13" s="269">
        <f t="shared" ref="BG13" si="33">SUM(BG6:BG12)</f>
        <v>0</v>
      </c>
      <c r="BH13" s="469">
        <f>SUM(BH6:BH12)</f>
        <v>63</v>
      </c>
      <c r="BI13" s="256"/>
      <c r="BJ13" s="269">
        <f>SUM(BJ6:BJ12)</f>
        <v>326</v>
      </c>
      <c r="BK13" s="469">
        <f t="shared" ref="BK13" si="34">SUM(BK6:BK12)</f>
        <v>230</v>
      </c>
      <c r="BL13" s="269">
        <f t="shared" ref="BL13" si="35">SUM(BL6:BL12)</f>
        <v>438</v>
      </c>
      <c r="BM13" s="269">
        <f t="shared" ref="BM13" si="36">SUM(BM6:BM12)</f>
        <v>340</v>
      </c>
      <c r="BN13" s="269">
        <f t="shared" ref="BN13:BO13" si="37">SUM(BN6:BN12)</f>
        <v>314</v>
      </c>
      <c r="BO13" s="269">
        <f t="shared" si="37"/>
        <v>384</v>
      </c>
      <c r="BP13" s="269">
        <f t="shared" ref="BP13" si="38">SUM(BP6:BP12)</f>
        <v>370</v>
      </c>
      <c r="BQ13" s="269">
        <f t="shared" ref="BQ13" si="39">SUM(BQ6:BQ12)</f>
        <v>0</v>
      </c>
      <c r="BR13" s="269">
        <f t="shared" ref="BR13" si="40">SUM(BR6:BR12)</f>
        <v>0</v>
      </c>
      <c r="BS13" s="269">
        <f t="shared" ref="BS13" si="41">SUM(BS6:BS12)</f>
        <v>0</v>
      </c>
      <c r="BT13" s="269">
        <f t="shared" ref="BT13" si="42">SUM(BT6:BT12)</f>
        <v>0</v>
      </c>
      <c r="BU13" s="269">
        <f t="shared" ref="BU13" si="43">SUM(BU6:BU12)</f>
        <v>0</v>
      </c>
      <c r="BV13" s="469">
        <f>SUM(BV6:BV12)</f>
        <v>2402</v>
      </c>
      <c r="BW13" s="256"/>
      <c r="BX13" s="269">
        <f>SUM(BX6:BX12)</f>
        <v>120</v>
      </c>
      <c r="BY13" s="269">
        <f t="shared" ref="BY13" si="44">SUM(BY6:BY12)</f>
        <v>67</v>
      </c>
      <c r="BZ13" s="269">
        <f t="shared" ref="BZ13" si="45">SUM(BZ6:BZ12)</f>
        <v>259</v>
      </c>
      <c r="CA13" s="269">
        <f t="shared" ref="CA13" si="46">SUM(CA6:CA12)</f>
        <v>173</v>
      </c>
      <c r="CB13" s="269">
        <f t="shared" ref="CB13:CC13" si="47">SUM(CB6:CB12)</f>
        <v>190</v>
      </c>
      <c r="CC13" s="269">
        <f t="shared" si="47"/>
        <v>405</v>
      </c>
      <c r="CD13" s="269">
        <f t="shared" ref="CD13" si="48">SUM(CD6:CD12)</f>
        <v>79</v>
      </c>
      <c r="CE13" s="269">
        <f t="shared" ref="CE13" si="49">SUM(CE6:CE12)</f>
        <v>0</v>
      </c>
      <c r="CF13" s="269">
        <f t="shared" ref="CF13" si="50">SUM(CF6:CF12)</f>
        <v>0</v>
      </c>
      <c r="CG13" s="269">
        <f t="shared" ref="CG13" si="51">SUM(CG6:CG12)</f>
        <v>0</v>
      </c>
      <c r="CH13" s="269">
        <f t="shared" ref="CH13" si="52">SUM(CH6:CH12)</f>
        <v>0</v>
      </c>
      <c r="CI13" s="269">
        <f t="shared" ref="CI13" si="53">SUM(CI6:CI12)</f>
        <v>0</v>
      </c>
      <c r="CJ13" s="269">
        <f>SUM(CJ6:CJ12)</f>
        <v>1293</v>
      </c>
      <c r="CK13" s="256"/>
      <c r="CL13" s="269">
        <f>SUM(CL6:CL12)</f>
        <v>1102</v>
      </c>
      <c r="CM13" s="269">
        <f t="shared" ref="CM13" si="54">SUM(CM6:CM12)</f>
        <v>820</v>
      </c>
      <c r="CN13" s="269">
        <f t="shared" ref="CN13" si="55">SUM(CN6:CN12)</f>
        <v>774</v>
      </c>
      <c r="CO13" s="269">
        <f t="shared" ref="CO13" si="56">SUM(CO6:CO12)</f>
        <v>772</v>
      </c>
      <c r="CP13" s="269">
        <f t="shared" ref="CP13:CQ13" si="57">SUM(CP6:CP12)</f>
        <v>881</v>
      </c>
      <c r="CQ13" s="269">
        <f t="shared" si="57"/>
        <v>730</v>
      </c>
      <c r="CR13" s="269">
        <f t="shared" ref="CR13" si="58">SUM(CR6:CR12)</f>
        <v>897</v>
      </c>
      <c r="CS13" s="269">
        <f t="shared" ref="CS13" si="59">SUM(CS6:CS12)</f>
        <v>0</v>
      </c>
      <c r="CT13" s="269">
        <f t="shared" ref="CT13" si="60">SUM(CT6:CT12)</f>
        <v>0</v>
      </c>
      <c r="CU13" s="269">
        <f t="shared" ref="CU13" si="61">SUM(CU6:CU12)</f>
        <v>0</v>
      </c>
      <c r="CV13" s="269">
        <f t="shared" ref="CV13" si="62">SUM(CV6:CV12)</f>
        <v>0</v>
      </c>
      <c r="CW13" s="269">
        <f t="shared" ref="CW13" si="63">SUM(CW6:CW12)</f>
        <v>0</v>
      </c>
      <c r="CX13" s="269">
        <f>SUM(CX6:CX12)</f>
        <v>5976</v>
      </c>
      <c r="CY13" s="256"/>
      <c r="CZ13" s="269">
        <f>SUM(CZ6:CZ12)</f>
        <v>128</v>
      </c>
      <c r="DA13" s="269">
        <f t="shared" ref="DA13" si="64">SUM(DA6:DA12)</f>
        <v>105</v>
      </c>
      <c r="DB13" s="269">
        <f t="shared" ref="DB13" si="65">SUM(DB6:DB12)</f>
        <v>131</v>
      </c>
      <c r="DC13" s="269">
        <f t="shared" ref="DC13" si="66">SUM(DC6:DC12)</f>
        <v>133</v>
      </c>
      <c r="DD13" s="269">
        <f t="shared" ref="DD13:DE13" si="67">SUM(DD6:DD12)</f>
        <v>107</v>
      </c>
      <c r="DE13" s="269">
        <f t="shared" si="67"/>
        <v>99</v>
      </c>
      <c r="DF13" s="269">
        <f t="shared" ref="DF13" si="68">SUM(DF6:DF12)</f>
        <v>123</v>
      </c>
      <c r="DG13" s="269">
        <f t="shared" ref="DG13" si="69">SUM(DG6:DG12)</f>
        <v>0</v>
      </c>
      <c r="DH13" s="269">
        <f t="shared" ref="DH13" si="70">SUM(DH6:DH12)</f>
        <v>0</v>
      </c>
      <c r="DI13" s="269">
        <f t="shared" ref="DI13" si="71">SUM(DI6:DI12)</f>
        <v>0</v>
      </c>
      <c r="DJ13" s="269">
        <f t="shared" ref="DJ13" si="72">SUM(DJ6:DJ12)</f>
        <v>0</v>
      </c>
      <c r="DK13" s="269">
        <f t="shared" ref="DK13" si="73">SUM(DK6:DK12)</f>
        <v>0</v>
      </c>
      <c r="DL13" s="269">
        <f>SUM(DL6:DL12)</f>
        <v>826</v>
      </c>
      <c r="DM13" s="287"/>
      <c r="DN13" s="269">
        <f>SUM(DN6:DN12)</f>
        <v>3412</v>
      </c>
      <c r="DO13" s="269">
        <f t="shared" ref="DO13" si="74">SUM(DO6:DO12)</f>
        <v>2531</v>
      </c>
      <c r="DP13" s="269">
        <f t="shared" ref="DP13" si="75">SUM(DP6:DP12)</f>
        <v>3498</v>
      </c>
      <c r="DQ13" s="269">
        <f t="shared" ref="DQ13" si="76">SUM(DQ6:DQ12)</f>
        <v>3518</v>
      </c>
      <c r="DR13" s="269">
        <f t="shared" ref="DR13" si="77">SUM(DR6:DR12)</f>
        <v>3528</v>
      </c>
      <c r="DS13" s="269">
        <f t="shared" ref="DS13" si="78">SUM(DS6:DS12)</f>
        <v>3403</v>
      </c>
      <c r="DT13" s="269">
        <f t="shared" ref="DT13" si="79">SUM(DT6:DT12)</f>
        <v>4158</v>
      </c>
      <c r="DU13" s="269">
        <f t="shared" ref="DU13" si="80">SUM(DU6:DU12)</f>
        <v>0</v>
      </c>
      <c r="DV13" s="269">
        <f t="shared" ref="DV13" si="81">SUM(DV6:DV12)</f>
        <v>0</v>
      </c>
      <c r="DW13" s="269">
        <f t="shared" ref="DW13" si="82">SUM(DW6:DW12)</f>
        <v>0</v>
      </c>
      <c r="DX13" s="269">
        <f t="shared" ref="DX13" si="83">SUM(DX6:DX12)</f>
        <v>0</v>
      </c>
      <c r="DY13" s="269">
        <f t="shared" ref="DY13" si="84">SUM(DY6:DY12)</f>
        <v>0</v>
      </c>
      <c r="DZ13" s="269">
        <f>SUM(DZ6:DZ12)</f>
        <v>24048</v>
      </c>
      <c r="EA13" s="256"/>
      <c r="EB13" s="269">
        <f>SUM(EB6:EB12)</f>
        <v>3038</v>
      </c>
      <c r="EC13" s="269">
        <f t="shared" ref="EC13" si="85">SUM(EC6:EC12)</f>
        <v>2143</v>
      </c>
      <c r="ED13" s="269">
        <f t="shared" ref="ED13" si="86">SUM(ED6:ED12)</f>
        <v>3116</v>
      </c>
      <c r="EE13" s="269">
        <f t="shared" ref="EE13" si="87">SUM(EE6:EE12)</f>
        <v>2990</v>
      </c>
      <c r="EF13" s="269">
        <f t="shared" ref="EF13:EG13" si="88">SUM(EF6:EF12)</f>
        <v>3104</v>
      </c>
      <c r="EG13" s="269">
        <f t="shared" si="88"/>
        <v>2909</v>
      </c>
      <c r="EH13" s="269">
        <f t="shared" ref="EH13" si="89">SUM(EH6:EH12)</f>
        <v>3574</v>
      </c>
      <c r="EI13" s="269">
        <f t="shared" ref="EI13" si="90">SUM(EI6:EI12)</f>
        <v>0</v>
      </c>
      <c r="EJ13" s="269">
        <f t="shared" ref="EJ13" si="91">SUM(EJ6:EJ12)</f>
        <v>0</v>
      </c>
      <c r="EK13" s="269">
        <f t="shared" ref="EK13" si="92">SUM(EK6:EK12)</f>
        <v>0</v>
      </c>
      <c r="EL13" s="269">
        <f t="shared" ref="EL13" si="93">SUM(EL6:EL12)</f>
        <v>0</v>
      </c>
      <c r="EM13" s="269">
        <f t="shared" ref="EM13" si="94">SUM(EM6:EM12)</f>
        <v>0</v>
      </c>
      <c r="EN13" s="269">
        <f>SUM(EN6:EN12)</f>
        <v>20874</v>
      </c>
      <c r="EP13" s="269">
        <f>SUM(EP6:EP12)</f>
        <v>19</v>
      </c>
      <c r="EQ13" s="269">
        <f t="shared" ref="EQ13" si="95">SUM(EQ6:EQ12)</f>
        <v>8</v>
      </c>
      <c r="ER13" s="269">
        <f t="shared" ref="ER13" si="96">SUM(ER6:ER12)</f>
        <v>8</v>
      </c>
      <c r="ES13" s="269">
        <f t="shared" ref="ES13" si="97">SUM(ES6:ES12)</f>
        <v>9</v>
      </c>
      <c r="ET13" s="269">
        <f t="shared" ref="ET13:EU13" si="98">SUM(ET6:ET12)</f>
        <v>14</v>
      </c>
      <c r="EU13" s="269">
        <f t="shared" si="98"/>
        <v>32</v>
      </c>
      <c r="EV13" s="269">
        <f t="shared" ref="EV13" si="99">SUM(EV6:EV12)</f>
        <v>5</v>
      </c>
      <c r="EW13" s="269">
        <f t="shared" ref="EW13" si="100">SUM(EW6:EW12)</f>
        <v>0</v>
      </c>
      <c r="EX13" s="269">
        <f t="shared" ref="EX13" si="101">SUM(EX6:EX12)</f>
        <v>0</v>
      </c>
      <c r="EY13" s="269">
        <f t="shared" ref="EY13" si="102">SUM(EY6:EY12)</f>
        <v>0</v>
      </c>
      <c r="EZ13" s="269">
        <f t="shared" ref="EZ13" si="103">SUM(EZ6:EZ12)</f>
        <v>0</v>
      </c>
      <c r="FA13" s="269">
        <f t="shared" ref="FA13" si="104">SUM(FA6:FA12)</f>
        <v>0</v>
      </c>
      <c r="FB13" s="469">
        <f>SUM(FB6:FB12)</f>
        <v>95</v>
      </c>
      <c r="FD13" s="469">
        <f>SUM(FD6:FD12)</f>
        <v>105</v>
      </c>
      <c r="FE13" s="269">
        <f t="shared" ref="FE13" si="105">SUM(FE6:FE12)</f>
        <v>86</v>
      </c>
      <c r="FF13" s="269">
        <f t="shared" ref="FF13" si="106">SUM(FF6:FF12)</f>
        <v>50</v>
      </c>
      <c r="FG13" s="269">
        <f t="shared" ref="FG13" si="107">SUM(FG6:FG12)</f>
        <v>65</v>
      </c>
      <c r="FH13" s="269">
        <f t="shared" ref="FH13:FI13" si="108">SUM(FH6:FH12)</f>
        <v>59</v>
      </c>
      <c r="FI13" s="269">
        <f t="shared" si="108"/>
        <v>52</v>
      </c>
      <c r="FJ13" s="269">
        <f t="shared" ref="FJ13" si="109">SUM(FJ6:FJ12)</f>
        <v>91</v>
      </c>
      <c r="FK13" s="269">
        <f t="shared" ref="FK13" si="110">SUM(FK6:FK12)</f>
        <v>0</v>
      </c>
      <c r="FL13" s="269">
        <f t="shared" ref="FL13" si="111">SUM(FL6:FL12)</f>
        <v>0</v>
      </c>
      <c r="FM13" s="269">
        <f t="shared" ref="FM13" si="112">SUM(FM6:FM12)</f>
        <v>0</v>
      </c>
      <c r="FN13" s="269">
        <f t="shared" ref="FN13" si="113">SUM(FN6:FN12)</f>
        <v>0</v>
      </c>
      <c r="FO13" s="269">
        <f t="shared" ref="FO13" si="114">SUM(FO6:FO12)</f>
        <v>0</v>
      </c>
      <c r="FP13" s="269">
        <f>SUM(FP6:FP12)</f>
        <v>508</v>
      </c>
      <c r="FR13" s="269">
        <f>SUM(FR6:FR12)</f>
        <v>0</v>
      </c>
      <c r="FS13" s="269">
        <f t="shared" ref="FS13" si="115">SUM(FS6:FS12)</f>
        <v>12</v>
      </c>
      <c r="FT13" s="269">
        <f t="shared" ref="FT13" si="116">SUM(FT6:FT12)</f>
        <v>20</v>
      </c>
      <c r="FU13" s="269">
        <f t="shared" ref="FU13" si="117">SUM(FU6:FU12)</f>
        <v>27</v>
      </c>
      <c r="FV13" s="269">
        <f t="shared" ref="FV13:FW13" si="118">SUM(FV6:FV12)</f>
        <v>45</v>
      </c>
      <c r="FW13" s="269">
        <f t="shared" si="118"/>
        <v>39</v>
      </c>
      <c r="FX13" s="269">
        <f t="shared" ref="FX13" si="119">SUM(FX6:FX12)</f>
        <v>52</v>
      </c>
      <c r="FY13" s="269">
        <f t="shared" ref="FY13" si="120">SUM(FY6:FY12)</f>
        <v>0</v>
      </c>
      <c r="FZ13" s="269">
        <f t="shared" ref="FZ13" si="121">SUM(FZ6:FZ12)</f>
        <v>0</v>
      </c>
      <c r="GA13" s="269">
        <f t="shared" ref="GA13" si="122">SUM(GA6:GA12)</f>
        <v>0</v>
      </c>
      <c r="GB13" s="269">
        <f t="shared" ref="GB13" si="123">SUM(GB6:GB12)</f>
        <v>0</v>
      </c>
      <c r="GC13" s="269">
        <f t="shared" ref="GC13" si="124">SUM(GC6:GC12)</f>
        <v>0</v>
      </c>
      <c r="GD13" s="269">
        <f>SUM(GD6:GD12)</f>
        <v>195</v>
      </c>
      <c r="GF13" s="269">
        <f>SUM(GF6:GF12)</f>
        <v>250</v>
      </c>
      <c r="GG13" s="269">
        <f t="shared" ref="GG13" si="125">SUM(GG6:GG12)</f>
        <v>282</v>
      </c>
      <c r="GH13" s="269">
        <f t="shared" ref="GH13" si="126">SUM(GH6:GH12)</f>
        <v>304</v>
      </c>
      <c r="GI13" s="269">
        <f t="shared" ref="GI13" si="127">SUM(GI6:GI12)</f>
        <v>427</v>
      </c>
      <c r="GJ13" s="269">
        <f t="shared" ref="GJ13:GK13" si="128">SUM(GJ6:GJ12)</f>
        <v>306</v>
      </c>
      <c r="GK13" s="269">
        <f t="shared" si="128"/>
        <v>371</v>
      </c>
      <c r="GL13" s="269">
        <f t="shared" ref="GL13" si="129">SUM(GL6:GL12)</f>
        <v>436</v>
      </c>
      <c r="GM13" s="269">
        <f t="shared" ref="GM13" si="130">SUM(GM6:GM12)</f>
        <v>0</v>
      </c>
      <c r="GN13" s="269">
        <f t="shared" ref="GN13" si="131">SUM(GN6:GN12)</f>
        <v>0</v>
      </c>
      <c r="GO13" s="269">
        <f t="shared" ref="GO13" si="132">SUM(GO6:GO12)</f>
        <v>0</v>
      </c>
      <c r="GP13" s="269">
        <f t="shared" ref="GP13" si="133">SUM(GP6:GP12)</f>
        <v>0</v>
      </c>
      <c r="GQ13" s="269">
        <f t="shared" ref="GQ13" si="134">SUM(GQ6:GQ12)</f>
        <v>0</v>
      </c>
      <c r="GR13" s="269">
        <f>SUM(GR6:GR12)</f>
        <v>2376</v>
      </c>
    </row>
    <row r="14" spans="2:200" ht="12" x14ac:dyDescent="0.2">
      <c r="C14" s="270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71"/>
      <c r="AI14" s="271"/>
      <c r="AJ14" s="271"/>
      <c r="AK14" s="271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F14" s="271"/>
      <c r="GG14" s="271"/>
      <c r="GH14" s="271"/>
      <c r="GI14" s="271"/>
      <c r="GJ14" s="256"/>
      <c r="GK14" s="256"/>
      <c r="GL14" s="256"/>
      <c r="GM14" s="256"/>
      <c r="GN14" s="256"/>
      <c r="GO14" s="256"/>
      <c r="GP14" s="256"/>
      <c r="GQ14" s="256"/>
      <c r="GR14" s="256"/>
    </row>
    <row r="15" spans="2:200" x14ac:dyDescent="0.2"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</row>
    <row r="16" spans="2:200" x14ac:dyDescent="0.2"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</row>
    <row r="17" spans="34:135" x14ac:dyDescent="0.2"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</row>
    <row r="18" spans="34:135" x14ac:dyDescent="0.2"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</row>
    <row r="19" spans="34:135" x14ac:dyDescent="0.2"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</row>
    <row r="20" spans="34:135" x14ac:dyDescent="0.2"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</row>
    <row r="21" spans="34:135" x14ac:dyDescent="0.2"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</row>
    <row r="22" spans="34:135" x14ac:dyDescent="0.2"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</row>
    <row r="23" spans="34:135" x14ac:dyDescent="0.2"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</row>
    <row r="24" spans="34:135" x14ac:dyDescent="0.2"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</row>
    <row r="25" spans="34:135" x14ac:dyDescent="0.2"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</row>
    <row r="26" spans="34:135" x14ac:dyDescent="0.2"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</row>
    <row r="27" spans="34:135" x14ac:dyDescent="0.2"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</row>
    <row r="28" spans="34:135" x14ac:dyDescent="0.2"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</row>
    <row r="29" spans="34:135" x14ac:dyDescent="0.2"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</row>
    <row r="30" spans="34:135" x14ac:dyDescent="0.2"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</row>
    <row r="31" spans="34:135" x14ac:dyDescent="0.2"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</row>
    <row r="32" spans="34:135" x14ac:dyDescent="0.2"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</row>
    <row r="33" spans="34:135" x14ac:dyDescent="0.2"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</row>
    <row r="34" spans="34:135" x14ac:dyDescent="0.2"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</row>
    <row r="35" spans="34:135" x14ac:dyDescent="0.2"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</row>
    <row r="36" spans="34:135" x14ac:dyDescent="0.2"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</row>
    <row r="37" spans="34:135" x14ac:dyDescent="0.2"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</row>
    <row r="38" spans="34:135" x14ac:dyDescent="0.2"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</row>
    <row r="39" spans="34:135" x14ac:dyDescent="0.2"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</row>
    <row r="40" spans="34:135" x14ac:dyDescent="0.2"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</row>
    <row r="41" spans="34:135" x14ac:dyDescent="0.2"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</row>
    <row r="42" spans="34:135" x14ac:dyDescent="0.2"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</row>
    <row r="43" spans="34:135" x14ac:dyDescent="0.2"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  <c r="CG43" s="275"/>
      <c r="CH43" s="275"/>
      <c r="CI43" s="275"/>
      <c r="CJ43" s="275"/>
      <c r="CK43" s="275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</row>
    <row r="44" spans="34:135" x14ac:dyDescent="0.2"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55"/>
      <c r="CM44" s="255"/>
      <c r="CN44" s="255"/>
      <c r="CO44" s="255"/>
      <c r="CP44" s="255"/>
      <c r="CQ44" s="255"/>
      <c r="CR44" s="255"/>
      <c r="CS44" s="255"/>
      <c r="CT44" s="255"/>
      <c r="CU44" s="255"/>
      <c r="CV44" s="255"/>
      <c r="CW44" s="255"/>
      <c r="CX44" s="255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  <c r="DL44" s="255"/>
    </row>
    <row r="45" spans="34:135" x14ac:dyDescent="0.2"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</row>
    <row r="46" spans="34:135" x14ac:dyDescent="0.2"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</row>
    <row r="47" spans="34:135" x14ac:dyDescent="0.2"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</row>
    <row r="48" spans="34:135" x14ac:dyDescent="0.2"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</row>
    <row r="49" spans="90:130" x14ac:dyDescent="0.2">
      <c r="CL49" s="275"/>
      <c r="CM49" s="275"/>
      <c r="CN49" s="275"/>
      <c r="CO49" s="275"/>
      <c r="CP49" s="275"/>
      <c r="CQ49" s="275"/>
      <c r="CR49" s="275"/>
      <c r="CS49" s="275"/>
      <c r="CT49" s="275"/>
      <c r="CU49" s="275"/>
      <c r="CV49" s="275"/>
      <c r="CW49" s="275"/>
      <c r="CX49" s="275"/>
      <c r="CZ49" s="275"/>
      <c r="DA49" s="275"/>
      <c r="DB49" s="275"/>
      <c r="DC49" s="275"/>
      <c r="DD49" s="275"/>
      <c r="DE49" s="275"/>
      <c r="DF49" s="275"/>
      <c r="DG49" s="275"/>
      <c r="DH49" s="275"/>
      <c r="DI49" s="275"/>
      <c r="DJ49" s="275"/>
      <c r="DK49" s="275"/>
      <c r="DL49" s="275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</row>
  </sheetData>
  <autoFilter ref="B5:C13" xr:uid="{00000000-0001-0000-1A00-000000000000}"/>
  <mergeCells count="22"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workbookViewId="0">
      <pane ySplit="2" topLeftCell="A3" activePane="bottomLeft" state="frozen"/>
      <selection activeCell="M17" sqref="M17"/>
      <selection pane="bottomLeft" activeCell="R6" sqref="R6"/>
    </sheetView>
  </sheetViews>
  <sheetFormatPr baseColWidth="10" defaultRowHeight="12.75" x14ac:dyDescent="0.2"/>
  <cols>
    <col min="1" max="1" width="5.42578125" style="248" customWidth="1"/>
    <col min="2" max="2" width="9" style="248" bestFit="1" customWidth="1"/>
    <col min="3" max="3" width="31.5703125" style="248" customWidth="1"/>
    <col min="4" max="4" width="2" style="249" customWidth="1"/>
    <col min="5" max="5" width="17.42578125" style="249" hidden="1" customWidth="1"/>
    <col min="6" max="6" width="14.28515625" style="249" hidden="1" customWidth="1"/>
    <col min="7" max="9" width="16.5703125" style="248" hidden="1" customWidth="1"/>
    <col min="10" max="10" width="12.140625" style="248" hidden="1" customWidth="1"/>
    <col min="11" max="11" width="12.7109375" style="249" hidden="1" customWidth="1"/>
    <col min="12" max="13" width="16" style="249" hidden="1" customWidth="1"/>
    <col min="14" max="14" width="10.85546875" hidden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999" t="s">
        <v>450</v>
      </c>
      <c r="F1" s="1000"/>
      <c r="G1" s="1000"/>
      <c r="H1" s="1000"/>
      <c r="I1" s="1000"/>
      <c r="J1" s="1000"/>
      <c r="K1" s="1000"/>
      <c r="L1" s="1000"/>
      <c r="M1" s="1000"/>
      <c r="N1" s="1001"/>
      <c r="O1" s="1002" t="s">
        <v>451</v>
      </c>
      <c r="P1" s="1003"/>
      <c r="Q1" s="1003"/>
      <c r="R1" s="1003"/>
      <c r="S1" s="1003"/>
      <c r="T1" s="1003"/>
      <c r="U1" s="1003"/>
      <c r="V1" s="1003"/>
      <c r="W1" s="1003"/>
      <c r="X1" s="1004" t="s">
        <v>452</v>
      </c>
      <c r="Y1" s="1004"/>
      <c r="Z1" s="1004"/>
      <c r="AA1" s="1004"/>
      <c r="AB1" s="1004"/>
      <c r="AC1" s="1004"/>
      <c r="AD1" s="1004"/>
      <c r="AE1" s="1004"/>
      <c r="AF1" s="1004" t="s">
        <v>453</v>
      </c>
      <c r="AG1" s="1004"/>
      <c r="AH1" s="1004"/>
      <c r="AI1" s="1004"/>
      <c r="AJ1" s="1004"/>
      <c r="AK1" s="1004"/>
      <c r="AL1" s="1004"/>
      <c r="AM1" s="1004"/>
    </row>
    <row r="2" spans="2:41" ht="144.75" thickBot="1" x14ac:dyDescent="0.25">
      <c r="C2" s="252" t="str">
        <f>+NOMBRE!B7</f>
        <v>ENERO - JULIO 2024</v>
      </c>
      <c r="D2" s="695"/>
      <c r="E2" s="696" t="s">
        <v>480</v>
      </c>
      <c r="F2" s="697" t="s">
        <v>481</v>
      </c>
      <c r="G2" s="698" t="s">
        <v>494</v>
      </c>
      <c r="H2" s="698" t="s">
        <v>495</v>
      </c>
      <c r="I2" s="698"/>
      <c r="J2" s="698" t="s">
        <v>482</v>
      </c>
      <c r="K2" s="698" t="s">
        <v>483</v>
      </c>
      <c r="L2" s="698" t="s">
        <v>478</v>
      </c>
      <c r="M2" s="698" t="s">
        <v>484</v>
      </c>
      <c r="N2" s="699" t="s">
        <v>485</v>
      </c>
      <c r="O2" s="301" t="s">
        <v>217</v>
      </c>
      <c r="P2" s="301" t="s">
        <v>218</v>
      </c>
      <c r="Q2" s="698" t="s">
        <v>522</v>
      </c>
      <c r="R2" s="698" t="s">
        <v>523</v>
      </c>
      <c r="S2" s="698" t="s">
        <v>482</v>
      </c>
      <c r="T2" s="698" t="s">
        <v>483</v>
      </c>
      <c r="U2" s="300" t="s">
        <v>524</v>
      </c>
      <c r="V2" s="300" t="s">
        <v>424</v>
      </c>
      <c r="W2" s="302" t="s">
        <v>530</v>
      </c>
      <c r="X2" s="301" t="s">
        <v>217</v>
      </c>
      <c r="Y2" s="301" t="s">
        <v>218</v>
      </c>
      <c r="Z2" s="698" t="s">
        <v>522</v>
      </c>
      <c r="AA2" s="698" t="s">
        <v>523</v>
      </c>
      <c r="AB2" s="698" t="s">
        <v>482</v>
      </c>
      <c r="AC2" s="698" t="s">
        <v>483</v>
      </c>
      <c r="AD2" s="300" t="s">
        <v>524</v>
      </c>
      <c r="AE2" s="300" t="s">
        <v>424</v>
      </c>
      <c r="AF2" s="302" t="s">
        <v>425</v>
      </c>
      <c r="AG2" s="301" t="s">
        <v>217</v>
      </c>
      <c r="AH2" s="301" t="s">
        <v>218</v>
      </c>
      <c r="AI2" s="698" t="s">
        <v>522</v>
      </c>
      <c r="AJ2" s="698" t="s">
        <v>523</v>
      </c>
      <c r="AK2" s="698" t="s">
        <v>482</v>
      </c>
      <c r="AL2" s="698" t="s">
        <v>483</v>
      </c>
      <c r="AM2" s="300" t="s">
        <v>524</v>
      </c>
      <c r="AN2" s="300" t="s">
        <v>424</v>
      </c>
      <c r="AO2" s="302" t="s">
        <v>425</v>
      </c>
    </row>
    <row r="3" spans="2:41" ht="6" customHeight="1" thickBot="1" x14ac:dyDescent="0.25">
      <c r="E3" s="702"/>
      <c r="F3" s="703"/>
      <c r="G3" s="704"/>
      <c r="H3" s="704"/>
      <c r="I3" s="704"/>
      <c r="J3" s="704"/>
      <c r="K3" s="703"/>
      <c r="L3" s="703"/>
      <c r="M3" s="703"/>
      <c r="N3" s="705"/>
    </row>
    <row r="4" spans="2:41" ht="6" customHeight="1" x14ac:dyDescent="0.2">
      <c r="E4" s="303"/>
      <c r="F4" s="304"/>
      <c r="G4" s="304"/>
      <c r="H4" s="304"/>
      <c r="I4" s="304"/>
      <c r="J4" s="304"/>
      <c r="K4" s="304"/>
      <c r="L4" s="304"/>
      <c r="M4" s="304"/>
      <c r="N4" s="305"/>
      <c r="O4" s="700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</row>
    <row r="5" spans="2:41" x14ac:dyDescent="0.2">
      <c r="B5" s="292" t="s">
        <v>93</v>
      </c>
      <c r="C5" s="293" t="s">
        <v>94</v>
      </c>
      <c r="E5" s="626"/>
      <c r="F5" s="627"/>
      <c r="G5" s="627"/>
      <c r="H5" s="627"/>
      <c r="I5" s="627"/>
      <c r="J5" s="627"/>
      <c r="K5" s="627"/>
      <c r="L5" s="627"/>
      <c r="M5" s="627"/>
      <c r="N5" s="628"/>
      <c r="O5" s="701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628"/>
      <c r="AI5" s="628"/>
      <c r="AJ5" s="628"/>
      <c r="AK5" s="628"/>
      <c r="AL5" s="628"/>
      <c r="AM5" s="628"/>
    </row>
    <row r="6" spans="2:41" x14ac:dyDescent="0.2">
      <c r="B6" s="308">
        <v>107307</v>
      </c>
      <c r="C6" s="151" t="s">
        <v>95</v>
      </c>
      <c r="D6" s="306"/>
      <c r="E6" s="706">
        <f>'[51]ADU-ex-mar'!$E$20</f>
        <v>5784</v>
      </c>
      <c r="F6" s="694">
        <f>'[51]ADU-ex-mar'!$E$28</f>
        <v>2707</v>
      </c>
      <c r="G6" s="274">
        <f>SUM('[51]ADU-ex-mar'!$K$11,'[51]ADU-ex-mar'!$M$1:$M$11,'[51]ADU-ex-mar'!$O$11,'[51]ADU-ex-mar'!$Q$11,'[51]ADU-ex-mar'!$S$11,'[51]ADU-ex-mar'!$U$11,'[51]ADU-ex-mar'!$W$11)</f>
        <v>763</v>
      </c>
      <c r="H6" s="274">
        <f>SUM('[51]ADU-ex-mar'!$J$11,'[51]ADU-ex-mar'!$L$11,'[51]ADU-ex-mar'!$N$11,'[51]ADU-ex-mar'!$P$11,'[51]ADU-ex-mar'!$R$11,'[51]ADU-ex-mar'!$T$11,'[51]ADU-ex-mar'!$V$11)</f>
        <v>412</v>
      </c>
      <c r="I6" s="274"/>
      <c r="J6" s="621">
        <f>'[52]Mar-ex '!$D$13</f>
        <v>2600</v>
      </c>
      <c r="K6" s="621">
        <f>SUM('[53]Marzo-ex'!$W$10:$Z$10)</f>
        <v>232</v>
      </c>
      <c r="L6" s="621">
        <f>'[54]Marzo-ex'!$F$23</f>
        <v>171</v>
      </c>
      <c r="M6" s="621">
        <f>SUM('[54]Marzo-ex'!$G$64:$M$64)</f>
        <v>100</v>
      </c>
      <c r="N6" s="707">
        <f>'[53]Marzo-ex'!$D$34</f>
        <v>655</v>
      </c>
      <c r="O6" s="706">
        <f>'[55]ADU-ex-jun'!$E$20</f>
        <v>5783</v>
      </c>
      <c r="P6" s="694">
        <f>'[55]ADU-ex-jun'!$E$28</f>
        <v>2726</v>
      </c>
      <c r="Q6" s="274">
        <f>SUM('[55]ADU-ex-jun'!$K$11,'[55]ADU-ex-jun'!$M$11,'[55]ADU-ex-jun'!$O$11,'[55]ADU-ex-jun'!$Q$11,'[55]ADU-ex-jun'!$S$11,'[55]ADU-ex-jun'!$U$11,'[55]ADU-ex-jun'!$W$11,'[55]ADU-ex-jun'!$Y$11,'[55]ADU-ex-jun'!$AA$11)</f>
        <v>1854</v>
      </c>
      <c r="R6" s="274">
        <f>SUM('[55]ADU-ex-jun'!$J$11,'[55]ADU-ex-jun'!$L$11,'[55]ADU-ex-jun'!$N$11,'[55]ADU-ex-jun'!$P$11,'[55]ADU-ex-jun'!$R$11,'[55]ADU-ex-jun'!$T$11,'[55]ADU-ex-jun'!$V$11,'[55]ADU-ex-jun'!$X$11,'[55]ADU-ex-jun'!$Z$11)</f>
        <v>1046</v>
      </c>
      <c r="S6" s="621">
        <f>'[56]Jun-ex'!$D$13</f>
        <v>2642</v>
      </c>
      <c r="T6" s="621">
        <f>SUM('[57]Junio-ex'!$W$10:$Z$10)</f>
        <v>240</v>
      </c>
      <c r="U6" s="791">
        <f>'[58]Junio-ex'!$F$23</f>
        <v>196</v>
      </c>
      <c r="V6" s="621">
        <f>SUM('[58]Junio-ex'!$G$64:$M$64)</f>
        <v>119</v>
      </c>
      <c r="W6" s="707">
        <f>SUM('[57]Junio-ex'!$D$34,'[57]Junio-ex'!$G$69:$H$69)</f>
        <v>887</v>
      </c>
      <c r="X6" s="629"/>
      <c r="Y6" s="629"/>
      <c r="Z6" s="629"/>
      <c r="AA6" s="631"/>
      <c r="AB6" s="630"/>
      <c r="AC6" s="629"/>
      <c r="AD6" s="629"/>
      <c r="AE6" s="629"/>
      <c r="AF6" s="629"/>
      <c r="AG6" s="629"/>
      <c r="AH6" s="629"/>
      <c r="AI6" s="631"/>
      <c r="AJ6" s="630"/>
      <c r="AK6" s="629"/>
      <c r="AL6" s="629"/>
      <c r="AM6" s="629"/>
    </row>
    <row r="7" spans="2:41" x14ac:dyDescent="0.2">
      <c r="B7" s="308">
        <v>107308</v>
      </c>
      <c r="C7" s="151" t="s">
        <v>96</v>
      </c>
      <c r="D7" s="306"/>
      <c r="E7" s="706">
        <f>'[59]ADU-ex-mar'!$E$20</f>
        <v>3504</v>
      </c>
      <c r="F7" s="694">
        <f>'[59]ADU-ex-mar'!$E$28</f>
        <v>1664</v>
      </c>
      <c r="G7" s="274">
        <f>SUM('[59]ADU-ex-mar'!$K$11,'[59]ADU-ex-mar'!$M$1:$M$11,'[59]ADU-ex-mar'!$O$11,'[59]ADU-ex-mar'!$Q$11,'[59]ADU-ex-mar'!$S$11,'[59]ADU-ex-mar'!$U$11,'[59]ADU-ex-mar'!$W$11)</f>
        <v>500</v>
      </c>
      <c r="H7" s="274">
        <f>SUM('[59]ADU-ex-mar'!$J$11,'[59]ADU-ex-mar'!$L$11,'[59]ADU-ex-mar'!$N$11,'[59]ADU-ex-mar'!$P$11,'[59]ADU-ex-mar'!$R$11,'[59]ADU-ex-mar'!$T$11,'[59]ADU-ex-mar'!$V$11)</f>
        <v>226</v>
      </c>
      <c r="I7" s="274"/>
      <c r="J7" s="621">
        <f>'[60]Mar-ex '!$D$13</f>
        <v>1309</v>
      </c>
      <c r="K7" s="621">
        <f>SUM('[61]Marzo-ex'!$W$10:$Z$10)</f>
        <v>200</v>
      </c>
      <c r="L7" s="621">
        <f>'[62]Marzo-ex'!$F$23</f>
        <v>449</v>
      </c>
      <c r="M7" s="621">
        <f>SUM('[62]Marzo-ex'!$G$64:$M$64)</f>
        <v>89</v>
      </c>
      <c r="N7" s="707">
        <f>'[61]Marzo-ex'!$D$34</f>
        <v>603</v>
      </c>
      <c r="O7" s="706">
        <f>'[63]ADU-ex-jun'!$E$20</f>
        <v>3546</v>
      </c>
      <c r="P7" s="694">
        <f>'[63]ADU-ex-jun'!$E$28</f>
        <v>1710</v>
      </c>
      <c r="Q7" s="274">
        <f>SUM('[63]ADU-ex-jun'!$K$11,'[63]ADU-ex-jun'!$M$11,'[63]ADU-ex-jun'!$O$11,'[63]ADU-ex-jun'!$Q$11,'[63]ADU-ex-jun'!$S$11,'[63]ADU-ex-jun'!$U$11,'[63]ADU-ex-jun'!$W$11,'[63]ADU-ex-jun'!$Y$11,'[63]ADU-ex-jun'!$AA$11)</f>
        <v>1216</v>
      </c>
      <c r="R7" s="274">
        <f>SUM('[63]ADU-ex-jun'!$J$11,'[63]ADU-ex-jun'!$L$11,'[63]ADU-ex-jun'!$N$11,'[63]ADU-ex-jun'!$P$11,'[63]ADU-ex-jun'!$R$11,'[63]ADU-ex-jun'!$T$11,'[63]ADU-ex-jun'!$V$11,'[63]ADU-ex-jun'!$X$11,'[63]ADU-ex-jun'!$Z$11)</f>
        <v>558</v>
      </c>
      <c r="S7" s="621">
        <f>'[64]Jun-ex'!$D$13</f>
        <v>1285</v>
      </c>
      <c r="T7" s="621">
        <f>SUM('[65]Junio-ex'!$W$10:$Z$10)</f>
        <v>204</v>
      </c>
      <c r="U7" s="791">
        <f>'[66]Junio-ex'!$F$23</f>
        <v>465</v>
      </c>
      <c r="V7" s="621">
        <f>SUM('[62]Marzo-ex'!$G$64:$M$64)</f>
        <v>89</v>
      </c>
      <c r="W7" s="707">
        <f>SUM('[65]Junio-ex'!$D$34,'[65]Junio-ex'!$G$69:$H$69)</f>
        <v>672</v>
      </c>
      <c r="X7" s="629"/>
      <c r="Y7" s="629"/>
      <c r="Z7" s="629"/>
      <c r="AA7" s="631"/>
      <c r="AB7" s="630"/>
      <c r="AC7" s="629"/>
      <c r="AD7" s="629"/>
      <c r="AE7" s="629"/>
      <c r="AF7" s="629"/>
      <c r="AG7" s="629"/>
      <c r="AH7" s="629"/>
      <c r="AI7" s="631"/>
      <c r="AJ7" s="630"/>
      <c r="AK7" s="629"/>
      <c r="AL7" s="629"/>
      <c r="AM7" s="629"/>
    </row>
    <row r="8" spans="2:41" x14ac:dyDescent="0.2">
      <c r="B8" s="308">
        <v>107353</v>
      </c>
      <c r="C8" s="151" t="s">
        <v>97</v>
      </c>
      <c r="D8" s="306"/>
      <c r="E8" s="706">
        <f>'[67]ADU-ex-mar'!$E$20</f>
        <v>1891</v>
      </c>
      <c r="F8" s="694">
        <f>'[67]ADU-ex-mar'!$E$28</f>
        <v>772</v>
      </c>
      <c r="G8" s="274">
        <f>SUM('[67]ADU-ex-mar'!$K$11,'[67]ADU-ex-mar'!$M$1:$M$11,'[67]ADU-ex-mar'!$O$11,'[67]ADU-ex-mar'!$Q$11,'[67]ADU-ex-mar'!$S$11,'[67]ADU-ex-mar'!$U$11,'[67]ADU-ex-mar'!$W$11)</f>
        <v>304</v>
      </c>
      <c r="H8" s="274">
        <f>SUM('[67]ADU-ex-mar'!$J$11,'[67]ADU-ex-mar'!$L$11,'[67]ADU-ex-mar'!$N$11,'[67]ADU-ex-mar'!$P$11,'[67]ADU-ex-mar'!$R$11,'[67]ADU-ex-mar'!$T$11,'[67]ADU-ex-mar'!$V$11)</f>
        <v>147</v>
      </c>
      <c r="I8" s="274"/>
      <c r="J8" s="621">
        <f>'[68]Mar-ex '!$D$13</f>
        <v>848</v>
      </c>
      <c r="K8" s="621">
        <f>SUM('[69]Marzo-ex'!$W$10:$Z$10)</f>
        <v>145</v>
      </c>
      <c r="L8" s="621">
        <f>'[70]Marzo-ex'!$F$23</f>
        <v>164</v>
      </c>
      <c r="M8" s="621">
        <f>SUM('[70]Marzo-ex'!$G$64:$M$64)</f>
        <v>81</v>
      </c>
      <c r="N8" s="707">
        <f>'[69]Marzo-ex'!$D$34</f>
        <v>362</v>
      </c>
      <c r="O8" s="706">
        <f>'[71]ADU-ex-jun'!$E$20</f>
        <v>1967</v>
      </c>
      <c r="P8" s="694">
        <f>'[71]ADU-ex-jun'!$E$28</f>
        <v>861</v>
      </c>
      <c r="Q8" s="274">
        <f>SUM('[71]ADU-ex-jun'!$K$11,'[71]ADU-ex-jun'!$M$11,'[71]ADU-ex-jun'!$O$11,'[71]ADU-ex-jun'!$Q$11,'[71]ADU-ex-jun'!$S$11,'[71]ADU-ex-jun'!$U$11,'[71]ADU-ex-jun'!$W$11,'[71]ADU-ex-jun'!$Y$11,'[71]ADU-ex-jun'!$AA$11)</f>
        <v>723</v>
      </c>
      <c r="R8" s="274">
        <f>SUM('[71]ADU-ex-jun'!$J$11,'[71]ADU-ex-jun'!$L$11,'[71]ADU-ex-jun'!$N$11,'[71]ADU-ex-jun'!$P$11,'[71]ADU-ex-jun'!$R$11,'[71]ADU-ex-jun'!$T$11,'[71]ADU-ex-jun'!$V$11,'[71]ADU-ex-jun'!$X$11,'[71]ADU-ex-jun'!$Z$11)</f>
        <v>341</v>
      </c>
      <c r="S8" s="621">
        <f>'[72]Jun-ex'!$D$13</f>
        <v>848</v>
      </c>
      <c r="T8" s="621">
        <f>SUM('[73]Junio-ex'!$W$10:$Z$10)</f>
        <v>150</v>
      </c>
      <c r="U8" s="621">
        <f>'[74]Junio-ex'!$F$23</f>
        <v>180</v>
      </c>
      <c r="V8" s="621">
        <f>SUM('[74]Junio-ex'!$G$64:$M$64)</f>
        <v>81</v>
      </c>
      <c r="W8" s="707">
        <f>SUM('[73]Junio-ex'!$D$34,'[73]Junio-ex'!$G$69:$H$69)</f>
        <v>449</v>
      </c>
      <c r="X8" s="629"/>
      <c r="Y8" s="629"/>
      <c r="Z8" s="629"/>
      <c r="AA8" s="631"/>
      <c r="AB8" s="630"/>
      <c r="AC8" s="629"/>
      <c r="AD8" s="629"/>
      <c r="AE8" s="629"/>
      <c r="AF8" s="629"/>
      <c r="AG8" s="629"/>
      <c r="AH8" s="629"/>
      <c r="AI8" s="631"/>
      <c r="AJ8" s="630"/>
      <c r="AK8" s="629"/>
      <c r="AL8" s="629"/>
      <c r="AM8" s="629"/>
    </row>
    <row r="9" spans="2:41" x14ac:dyDescent="0.2">
      <c r="B9" s="308">
        <v>107356</v>
      </c>
      <c r="C9" s="151" t="s">
        <v>98</v>
      </c>
      <c r="D9" s="306"/>
      <c r="E9" s="706">
        <f>'[75]ADU-ex-mar'!$E$20</f>
        <v>2883</v>
      </c>
      <c r="F9" s="694">
        <f>'[75]ADU-ex-mar'!$E$28</f>
        <v>1351</v>
      </c>
      <c r="G9" s="274">
        <f>SUM('[75]ADU-ex-mar'!$K$11,'[75]ADU-ex-mar'!$M$1:$M$11,'[75]ADU-ex-mar'!$O$11,'[75]ADU-ex-mar'!$Q$11,'[75]ADU-ex-mar'!$S$11,'[75]ADU-ex-mar'!$U$11,'[75]ADU-ex-mar'!$W$11)</f>
        <v>512</v>
      </c>
      <c r="H9" s="274">
        <f>SUM('[75]ADU-ex-mar'!$J$11,'[75]ADU-ex-mar'!$L$11,'[75]ADU-ex-mar'!$N$11,'[75]ADU-ex-mar'!$P$11,'[75]ADU-ex-mar'!$R$11,'[75]ADU-ex-mar'!$T$11,'[75]ADU-ex-mar'!$V$11)</f>
        <v>210</v>
      </c>
      <c r="I9" s="274"/>
      <c r="J9" s="621">
        <f>'[76]Mar-ex '!$D$13</f>
        <v>763</v>
      </c>
      <c r="K9" s="621">
        <f>SUM('[77]Marzo-ex'!$W$10:$Z$10)</f>
        <v>176</v>
      </c>
      <c r="L9" s="621">
        <f>'[78]Marzo-ex'!$F$23</f>
        <v>235</v>
      </c>
      <c r="M9" s="621">
        <f>SUM('[78]Marzo-ex'!$G$64:$M$64)</f>
        <v>81</v>
      </c>
      <c r="N9" s="707">
        <f>'[77]Marzo-ex'!$D$34</f>
        <v>498</v>
      </c>
      <c r="O9" s="706">
        <f>'[79]ADU-ex-jun'!$E$20</f>
        <v>2825</v>
      </c>
      <c r="P9" s="694">
        <f>'[79]ADU-ex-jun'!$E$28</f>
        <v>1337</v>
      </c>
      <c r="Q9" s="274">
        <f>SUM('[79]ADU-ex-jun'!$K$11,'[79]ADU-ex-jun'!$M$11,'[79]ADU-ex-jun'!$O$11,'[79]ADU-ex-jun'!$Q$11,'[79]ADU-ex-jun'!$S$11,'[79]ADU-ex-jun'!$U$11,'[79]ADU-ex-jun'!$W$11,'[79]ADU-ex-jun'!$Y$11,'[79]ADU-ex-jun'!$AA$11)</f>
        <v>1022</v>
      </c>
      <c r="R9" s="274">
        <f>SUM('[79]ADU-ex-jun'!$J$11,'[79]ADU-ex-jun'!$L$11,'[79]ADU-ex-jun'!$N$11,'[79]ADU-ex-jun'!$P$11,'[79]ADU-ex-jun'!$R$11,'[79]ADU-ex-jun'!$T$11,'[79]ADU-ex-jun'!$V$11,'[79]ADU-ex-jun'!$X$11,'[79]ADU-ex-jun'!$Z$11)</f>
        <v>524</v>
      </c>
      <c r="S9" s="621">
        <f>'[80]Jun-ex'!$D$13</f>
        <v>881</v>
      </c>
      <c r="T9" s="621">
        <f>SUM('[81]Junio-ex'!$W$10:$Z$10)</f>
        <v>147</v>
      </c>
      <c r="U9" s="621">
        <f>'[82]Junio-ex'!$F$23</f>
        <v>249</v>
      </c>
      <c r="V9" s="621">
        <f>SUM('[82]Junio-ex'!$G$64:$M$64)</f>
        <v>82</v>
      </c>
      <c r="W9" s="707">
        <f>SUM('[81]Junio-ex'!$D$34,'[81]Junio-ex'!$G$69:$H$69)</f>
        <v>547</v>
      </c>
      <c r="X9" s="629"/>
      <c r="Y9" s="629"/>
      <c r="Z9" s="629"/>
      <c r="AA9" s="631"/>
      <c r="AB9" s="630"/>
      <c r="AC9" s="629"/>
      <c r="AD9" s="629"/>
      <c r="AE9" s="629"/>
      <c r="AF9" s="629"/>
      <c r="AG9" s="629"/>
      <c r="AH9" s="629"/>
      <c r="AI9" s="631"/>
      <c r="AJ9" s="630"/>
      <c r="AK9" s="629"/>
      <c r="AL9" s="629"/>
      <c r="AM9" s="629"/>
    </row>
    <row r="10" spans="2:41" x14ac:dyDescent="0.2">
      <c r="B10" s="308">
        <v>107357</v>
      </c>
      <c r="C10" s="151" t="s">
        <v>99</v>
      </c>
      <c r="D10" s="306"/>
      <c r="E10" s="706">
        <f>'[83]ADU-ex-mar'!$E$20</f>
        <v>2779</v>
      </c>
      <c r="F10" s="694">
        <f>'[83]ADU-ex-mar'!$E$28</f>
        <v>1182</v>
      </c>
      <c r="G10" s="274">
        <f>SUM('[83]ADU-ex-mar'!$K$11,'[83]ADU-ex-mar'!$M$1:$M$11,'[83]ADU-ex-mar'!$O$11,'[83]ADU-ex-mar'!$Q$11,'[83]ADU-ex-mar'!$S$11,'[83]ADU-ex-mar'!$U$11,'[83]ADU-ex-mar'!$W$11)</f>
        <v>529</v>
      </c>
      <c r="H10" s="274">
        <f>SUM('[83]ADU-ex-mar'!$J$11,'[83]ADU-ex-mar'!$L$11,'[83]ADU-ex-mar'!$N$11,'[83]ADU-ex-mar'!$P$11,'[83]ADU-ex-mar'!$R$11,'[83]ADU-ex-mar'!$T$11,'[83]ADU-ex-mar'!$V$11)</f>
        <v>231</v>
      </c>
      <c r="I10" s="274"/>
      <c r="J10" s="621">
        <f>'[84]Mar-ex '!$D$13</f>
        <v>1732</v>
      </c>
      <c r="K10" s="621">
        <f>SUM('[85]Marzo-ex'!$W$10:$Z$10)</f>
        <v>172</v>
      </c>
      <c r="L10" s="621">
        <f>'[86]Marzo-ex'!$F$23</f>
        <v>489</v>
      </c>
      <c r="M10" s="621">
        <f>SUM('[86]Marzo-ex'!$G$64:$M$64)</f>
        <v>80</v>
      </c>
      <c r="N10" s="707">
        <f>'[85]Marzo-ex'!$D$34</f>
        <v>508</v>
      </c>
      <c r="O10" s="706">
        <f>'[87]ADU-ex-jun'!$E$20</f>
        <v>2846</v>
      </c>
      <c r="P10" s="694">
        <f>'[87]ADU-ex-jun'!$E$28</f>
        <v>1211</v>
      </c>
      <c r="Q10" s="274">
        <f>SUM('[87]ADU-ex-jun'!$K$11,'[87]ADU-ex-jun'!$M$11,'[87]ADU-ex-jun'!$O$11,'[87]ADU-ex-jun'!$Q$11,'[87]ADU-ex-jun'!$S$11,'[87]ADU-ex-jun'!$U$11,'[87]ADU-ex-jun'!$W$11,'[87]ADU-ex-jun'!$Y$11,'[87]ADU-ex-jun'!$AA$11)</f>
        <v>1093</v>
      </c>
      <c r="R10" s="274">
        <f>SUM('[87]ADU-ex-jun'!$J$11,'[87]ADU-ex-jun'!$L$11,'[87]ADU-ex-jun'!$N$11,'[87]ADU-ex-jun'!$P$11,'[87]ADU-ex-jun'!$R$11,'[87]ADU-ex-jun'!$T$11,'[87]ADU-ex-jun'!$V$11,'[87]ADU-ex-jun'!$X$11,'[87]ADU-ex-jun'!$Z$11)</f>
        <v>534</v>
      </c>
      <c r="S10" s="621">
        <f>'[88]Jun-ex'!$D$13</f>
        <v>1875</v>
      </c>
      <c r="T10" s="621">
        <f>SUM('[89]Junio-ex'!$W$10:$Z$10)</f>
        <v>142</v>
      </c>
      <c r="U10" s="621">
        <f>'[90]Junio-ex'!$F$23</f>
        <v>502</v>
      </c>
      <c r="V10" s="621">
        <f>SUM('[90]Junio-ex'!$G$64:$M$64)</f>
        <v>69</v>
      </c>
      <c r="W10" s="707">
        <f>SUM('[89]Junio-ex'!$D$34,'[89]Junio-ex'!$G$69:$H$69)</f>
        <v>559</v>
      </c>
      <c r="X10" s="629"/>
      <c r="Y10" s="629"/>
      <c r="Z10" s="629"/>
      <c r="AA10" s="631"/>
      <c r="AB10" s="630"/>
      <c r="AC10" s="629"/>
      <c r="AD10" s="629"/>
      <c r="AE10" s="629"/>
      <c r="AF10" s="629"/>
      <c r="AG10" s="629"/>
      <c r="AH10" s="629"/>
      <c r="AI10" s="631"/>
      <c r="AJ10" s="630"/>
      <c r="AK10" s="629"/>
      <c r="AL10" s="629"/>
      <c r="AM10" s="629"/>
    </row>
    <row r="11" spans="2:41" x14ac:dyDescent="0.2">
      <c r="B11" s="308">
        <v>107400</v>
      </c>
      <c r="C11" s="151" t="s">
        <v>100</v>
      </c>
      <c r="D11" s="306"/>
      <c r="E11" s="706">
        <f>'[91]ADU-ex-mar'!$E$20</f>
        <v>136</v>
      </c>
      <c r="F11" s="694">
        <f>'[91]ADU-ex-mar'!$E$28</f>
        <v>47</v>
      </c>
      <c r="G11" s="274">
        <f>SUM('[91]ADU-ex-mar'!$K$11,'[91]ADU-ex-mar'!$M$1:$M$11,'[91]ADU-ex-mar'!$O$11,'[91]ADU-ex-mar'!$Q$11,'[91]ADU-ex-mar'!$S$11,'[91]ADU-ex-mar'!$U$11,'[91]ADU-ex-mar'!$W$11)</f>
        <v>15</v>
      </c>
      <c r="H11" s="274">
        <f>SUM('[91]ADU-ex-mar'!$J$11,'[91]ADU-ex-mar'!$L$11,'[91]ADU-ex-mar'!$N$11,'[91]ADU-ex-mar'!$P$11,'[91]ADU-ex-mar'!$R$11,'[91]ADU-ex-mar'!$T$11,'[91]ADU-ex-mar'!$V$11)</f>
        <v>5</v>
      </c>
      <c r="I11" s="274"/>
      <c r="J11" s="621">
        <f>'[92]Mar-ex '!$D$13</f>
        <v>26</v>
      </c>
      <c r="K11" s="621">
        <f>SUM('[93]Marzo-ex'!$W$10:$Z$10)</f>
        <v>2</v>
      </c>
      <c r="L11" s="621">
        <f>'[94]Marzo-ex'!$F$23</f>
        <v>0</v>
      </c>
      <c r="M11" s="621">
        <f>SUM('[94]Marzo-ex'!$G$64:$M$64)</f>
        <v>1</v>
      </c>
      <c r="N11" s="707">
        <f>'[93]Marzo-ex'!$D$34</f>
        <v>9</v>
      </c>
      <c r="O11" s="706">
        <f>'[95]ADU-ex-jun'!$E$20</f>
        <v>135</v>
      </c>
      <c r="P11" s="694">
        <f>'[95]ADU-ex-jun'!$E$28</f>
        <v>47</v>
      </c>
      <c r="Q11" s="274">
        <f>SUM('[95]ADU-ex-jun'!$K$11,'[95]ADU-ex-jun'!$M$11,'[95]ADU-ex-jun'!$O$11,'[95]ADU-ex-jun'!$Q$11,'[95]ADU-ex-jun'!$S$11,'[95]ADU-ex-jun'!$U$11,'[95]ADU-ex-jun'!$W$11,'[95]ADU-ex-jun'!$Y$11,'[95]ADU-ex-jun'!$AA$11)</f>
        <v>40</v>
      </c>
      <c r="R11" s="274">
        <f>SUM('[95]ADU-ex-jun'!$J$11,'[95]ADU-ex-jun'!$L$11,'[95]ADU-ex-jun'!$N$11,'[95]ADU-ex-jun'!$P$11,'[95]ADU-ex-jun'!$R$11,'[95]ADU-ex-jun'!$T$11,'[95]ADU-ex-jun'!$V$11,'[95]ADU-ex-jun'!$X$11,'[95]ADU-ex-jun'!$Z$11)</f>
        <v>28</v>
      </c>
      <c r="S11" s="621">
        <f>'[96]Jun-ex'!$D$13</f>
        <v>23</v>
      </c>
      <c r="T11" s="621">
        <f>SUM('[97]Junio-ex'!$W$10:$Z$10)</f>
        <v>1</v>
      </c>
      <c r="U11" s="621">
        <f>'[98]Junio-ex'!$F$23</f>
        <v>0</v>
      </c>
      <c r="V11" s="621">
        <f>SUM('[98]Junio-ex'!$G$64:$M$64)</f>
        <v>0</v>
      </c>
      <c r="W11" s="707">
        <f>SUM('[97]Junio-ex'!$D$34,'[97]Junio-ex'!$G$69:$H$69)</f>
        <v>8</v>
      </c>
      <c r="X11" s="629"/>
      <c r="Y11" s="629"/>
      <c r="Z11" s="629"/>
      <c r="AA11" s="631"/>
      <c r="AB11" s="630"/>
      <c r="AC11" s="629"/>
      <c r="AD11" s="629"/>
      <c r="AE11" s="629"/>
      <c r="AF11" s="629"/>
      <c r="AG11" s="629"/>
      <c r="AH11" s="629"/>
      <c r="AI11" s="631"/>
      <c r="AJ11" s="630"/>
      <c r="AK11" s="629"/>
      <c r="AL11" s="629"/>
      <c r="AM11" s="629"/>
    </row>
    <row r="12" spans="2:41" x14ac:dyDescent="0.2">
      <c r="B12" s="307">
        <v>107756</v>
      </c>
      <c r="C12" s="153" t="s">
        <v>101</v>
      </c>
      <c r="D12" s="306"/>
      <c r="E12" s="706">
        <f>'[99]ADU-ex-mar'!$E$20</f>
        <v>830</v>
      </c>
      <c r="F12" s="694">
        <f>'[99]ADU-ex-mar'!$E$28</f>
        <v>414</v>
      </c>
      <c r="G12" s="274">
        <f>SUM('[99]ADU-ex-mar'!$K$11,'[99]ADU-ex-mar'!$M$1:$M$11,'[99]ADU-ex-mar'!$O$11,'[99]ADU-ex-mar'!$Q$11,'[99]ADU-ex-mar'!$S$11,'[99]ADU-ex-mar'!$U$11,'[99]ADU-ex-mar'!$W$11)</f>
        <v>110</v>
      </c>
      <c r="H12" s="274">
        <f>SUM('[99]ADU-ex-mar'!$J$11,'[99]ADU-ex-mar'!$L$11,'[99]ADU-ex-mar'!$N$11,'[99]ADU-ex-mar'!$P$11,'[99]ADU-ex-mar'!$R$11,'[99]ADU-ex-mar'!$T$11,'[99]ADU-ex-mar'!$V$11)</f>
        <v>61</v>
      </c>
      <c r="I12" s="274"/>
      <c r="J12" s="621">
        <f>'[100]Mar-ex '!$D$13</f>
        <v>427</v>
      </c>
      <c r="K12" s="621">
        <f>SUM('[101]Marzo-ex'!$W$10:$Z$10)</f>
        <v>48</v>
      </c>
      <c r="L12" s="621">
        <f>'[102]Marzo-ex'!$F$23</f>
        <v>115</v>
      </c>
      <c r="M12" s="621">
        <f>SUM('[102]Marzo-ex'!$G$64:$M$64)</f>
        <v>24</v>
      </c>
      <c r="N12" s="707">
        <f>'[101]Marzo-ex'!$D$34</f>
        <v>131</v>
      </c>
      <c r="O12" s="706">
        <f>'[103]ADU-ex-jun'!$E$20</f>
        <v>893</v>
      </c>
      <c r="P12" s="694">
        <f>'[103]ADU-ex-jun'!$E$28</f>
        <v>419</v>
      </c>
      <c r="Q12" s="274">
        <f>SUM('[103]ADU-ex-jun'!$K$11,'[103]ADU-ex-jun'!$M$11,'[103]ADU-ex-jun'!$O$11,'[103]ADU-ex-jun'!$Q$11,'[103]ADU-ex-jun'!$S$11,'[103]ADU-ex-jun'!$U$11,'[103]ADU-ex-jun'!$W$11,'[103]ADU-ex-jun'!$Y$11,'[103]ADU-ex-jun'!$AA$11)</f>
        <v>254</v>
      </c>
      <c r="R12" s="274">
        <f>SUM('[103]ADU-ex-jun'!$J$11,'[103]ADU-ex-jun'!$L$11,'[103]ADU-ex-jun'!$N$11,'[103]ADU-ex-jun'!$P$11,'[103]ADU-ex-jun'!$R$11,'[103]ADU-ex-jun'!$T$11,'[103]ADU-ex-jun'!$V$11,'[103]ADU-ex-jun'!$X$11,'[103]ADU-ex-jun'!$Z$11)</f>
        <v>139</v>
      </c>
      <c r="S12" s="621">
        <f>'[104]Jun-ex'!$D$13</f>
        <v>414</v>
      </c>
      <c r="T12" s="621">
        <f>SUM('[105]Junio-ex'!$W$10:$Z$10)</f>
        <v>56</v>
      </c>
      <c r="U12" s="621">
        <f>'[106]Junio-ex'!$F$23</f>
        <v>120</v>
      </c>
      <c r="V12" s="621">
        <f>SUM('[106]Junio-ex'!$G$64:$M$64)</f>
        <v>20</v>
      </c>
      <c r="W12" s="707">
        <f>SUM('[105]Junio-ex'!$D$34,'[105]Junio-ex'!$G$69:$H$69)</f>
        <v>171</v>
      </c>
      <c r="X12" s="629"/>
      <c r="Y12" s="629"/>
      <c r="Z12" s="629"/>
      <c r="AA12" s="631"/>
      <c r="AB12" s="630"/>
      <c r="AC12" s="629"/>
      <c r="AD12" s="629"/>
      <c r="AE12" s="629"/>
      <c r="AF12" s="629"/>
      <c r="AG12" s="629"/>
      <c r="AH12" s="629"/>
      <c r="AI12" s="631"/>
      <c r="AJ12" s="630"/>
      <c r="AK12" s="629"/>
      <c r="AL12" s="629"/>
      <c r="AM12" s="629"/>
    </row>
    <row r="13" spans="2:41" x14ac:dyDescent="0.2">
      <c r="D13" s="248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2:41" x14ac:dyDescent="0.2">
      <c r="D14" s="248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2:41" x14ac:dyDescent="0.2">
      <c r="D15" s="248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2:41" x14ac:dyDescent="0.2">
      <c r="D16" s="248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4:23" x14ac:dyDescent="0.2">
      <c r="D17" s="248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</row>
    <row r="18" spans="4:23" x14ac:dyDescent="0.2">
      <c r="D18" s="248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4:23" x14ac:dyDescent="0.2">
      <c r="D19" s="248"/>
      <c r="E19" s="256"/>
      <c r="F19" s="256"/>
      <c r="G19" s="256"/>
      <c r="H19" s="256"/>
      <c r="I19" s="256"/>
      <c r="J19" s="256"/>
      <c r="K19" s="256"/>
      <c r="L19" s="256"/>
      <c r="M19" s="256"/>
      <c r="N19" s="256"/>
    </row>
    <row r="20" spans="4:23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4:23" x14ac:dyDescent="0.2">
      <c r="E21" s="256"/>
      <c r="F21" s="256"/>
      <c r="G21" s="256"/>
      <c r="H21" s="256"/>
      <c r="I21" s="256"/>
      <c r="J21" s="256" t="s">
        <v>479</v>
      </c>
      <c r="K21" s="256"/>
      <c r="L21" s="256"/>
      <c r="M21" s="256"/>
      <c r="N21" s="256"/>
    </row>
    <row r="22" spans="4:23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4:23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</row>
    <row r="24" spans="4:23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4:23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</row>
    <row r="26" spans="4:23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4:23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4:23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29" spans="4:23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</row>
    <row r="30" spans="4:23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4:23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</row>
    <row r="32" spans="4:23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</row>
    <row r="33" spans="5:13" x14ac:dyDescent="0.2">
      <c r="E33" s="255"/>
      <c r="F33" s="255"/>
      <c r="G33" s="255"/>
      <c r="H33" s="255"/>
      <c r="I33" s="255"/>
      <c r="J33" s="255"/>
      <c r="K33" s="255"/>
      <c r="L33" s="255"/>
      <c r="M33" s="255"/>
    </row>
    <row r="34" spans="5:13" x14ac:dyDescent="0.2">
      <c r="E34" s="255"/>
      <c r="F34" s="255"/>
      <c r="G34" s="255"/>
      <c r="H34" s="255"/>
      <c r="I34" s="255"/>
      <c r="J34" s="255"/>
      <c r="K34" s="255"/>
      <c r="L34" s="255"/>
      <c r="M34" s="255"/>
    </row>
  </sheetData>
  <autoFilter ref="B5:C12" xr:uid="{00000000-0001-0000-1B00-000000000000}"/>
  <mergeCells count="4">
    <mergeCell ref="E1:N1"/>
    <mergeCell ref="O1:W1"/>
    <mergeCell ref="X1:AE1"/>
    <mergeCell ref="AF1:AM1"/>
  </mergeCells>
  <dataValidations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H10" sqref="H10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3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29" t="s">
        <v>299</v>
      </c>
      <c r="C3" s="850" t="s">
        <v>458</v>
      </c>
      <c r="D3" s="851"/>
      <c r="E3" s="730" t="s">
        <v>252</v>
      </c>
      <c r="F3" s="730" t="s">
        <v>457</v>
      </c>
      <c r="G3" s="731" t="s">
        <v>517</v>
      </c>
      <c r="H3" s="731" t="s">
        <v>518</v>
      </c>
    </row>
    <row r="4" spans="2:8" ht="45" customHeight="1" thickBot="1" x14ac:dyDescent="0.25">
      <c r="B4" s="641" t="s">
        <v>140</v>
      </c>
      <c r="C4" s="856" t="s">
        <v>159</v>
      </c>
      <c r="D4" s="857"/>
      <c r="E4" s="728">
        <v>100</v>
      </c>
      <c r="F4" s="728">
        <v>100</v>
      </c>
      <c r="G4" s="645">
        <f t="shared" ref="G4:G5" si="0">(F4/E4)*1</f>
        <v>1</v>
      </c>
      <c r="H4" s="645">
        <f>meta2.1!M8</f>
        <v>1</v>
      </c>
    </row>
    <row r="5" spans="2:8" ht="45" customHeight="1" thickBot="1" x14ac:dyDescent="0.25">
      <c r="B5" s="635" t="s">
        <v>141</v>
      </c>
      <c r="C5" s="852" t="s">
        <v>160</v>
      </c>
      <c r="D5" s="858"/>
      <c r="E5" s="644">
        <v>100</v>
      </c>
      <c r="F5" s="644">
        <v>100</v>
      </c>
      <c r="G5" s="645">
        <f t="shared" si="0"/>
        <v>1</v>
      </c>
      <c r="H5" s="645">
        <f>meta2.2!M8</f>
        <v>1</v>
      </c>
    </row>
    <row r="6" spans="2:8" ht="45" customHeight="1" thickBot="1" x14ac:dyDescent="0.25">
      <c r="B6" s="635" t="s">
        <v>142</v>
      </c>
      <c r="C6" s="852" t="s">
        <v>161</v>
      </c>
      <c r="D6" s="858"/>
      <c r="E6" s="646">
        <f>meta3!AA16</f>
        <v>1.08</v>
      </c>
      <c r="F6" s="646">
        <f>meta3!AB16</f>
        <v>0.58525573018183608</v>
      </c>
      <c r="G6" s="645">
        <f>(F6/E6)*1</f>
        <v>0.5419034538720704</v>
      </c>
      <c r="H6" s="645">
        <f>meta3!Y16</f>
        <v>1</v>
      </c>
    </row>
    <row r="7" spans="2:8" ht="45" customHeight="1" thickBot="1" x14ac:dyDescent="0.25">
      <c r="B7" s="636" t="s">
        <v>143</v>
      </c>
      <c r="C7" s="852" t="s">
        <v>162</v>
      </c>
      <c r="D7" s="853"/>
      <c r="E7" s="646">
        <f>meta4!AM16</f>
        <v>0.90700000000000003</v>
      </c>
      <c r="F7" s="646">
        <f>meta4!AN16</f>
        <v>0.90459930019813672</v>
      </c>
      <c r="G7" s="645">
        <f t="shared" ref="G7:G23" si="1">(F7/E7)*1</f>
        <v>0.99735314244557516</v>
      </c>
      <c r="H7" s="645">
        <f>meta4!AK16</f>
        <v>0.99735314244557516</v>
      </c>
    </row>
    <row r="8" spans="2:8" ht="45" customHeight="1" thickBot="1" x14ac:dyDescent="0.25">
      <c r="B8" s="637" t="s">
        <v>144</v>
      </c>
      <c r="C8" s="859" t="s">
        <v>163</v>
      </c>
      <c r="D8" s="853"/>
      <c r="E8" s="646">
        <f>meta5!AB16</f>
        <v>0.16500000000000001</v>
      </c>
      <c r="F8" s="646">
        <f>meta5!AC16</f>
        <v>6.8310675779033325E-2</v>
      </c>
      <c r="G8" s="645">
        <f t="shared" si="1"/>
        <v>0.414004095630505</v>
      </c>
      <c r="H8" s="645">
        <f>meta5!Z16</f>
        <v>0.82800819126101</v>
      </c>
    </row>
    <row r="9" spans="2:8" ht="45" customHeight="1" thickBot="1" x14ac:dyDescent="0.25">
      <c r="B9" s="638" t="s">
        <v>459</v>
      </c>
      <c r="C9" s="852" t="s">
        <v>461</v>
      </c>
      <c r="D9" s="853"/>
      <c r="E9" s="646">
        <f>meta6.1a!AB16</f>
        <v>0.1119</v>
      </c>
      <c r="F9" s="646">
        <f>meta6.1a!AC16</f>
        <v>6.1519394562666453E-2</v>
      </c>
      <c r="G9" s="645">
        <f t="shared" si="1"/>
        <v>0.54977117571641154</v>
      </c>
      <c r="H9" s="645">
        <f>meta6.1a!Z16</f>
        <v>1</v>
      </c>
    </row>
    <row r="10" spans="2:8" ht="45" customHeight="1" thickBot="1" x14ac:dyDescent="0.25">
      <c r="B10" s="638" t="s">
        <v>460</v>
      </c>
      <c r="C10" s="852" t="s">
        <v>462</v>
      </c>
      <c r="D10" s="853"/>
      <c r="E10" s="646">
        <f>meta6.1b!AB16</f>
        <v>0.1</v>
      </c>
      <c r="F10" s="646">
        <f>meta6.1b!AC16</f>
        <v>3.1246976879171908E-2</v>
      </c>
      <c r="G10" s="645">
        <f t="shared" si="1"/>
        <v>0.31246976879171906</v>
      </c>
      <c r="H10" s="645">
        <f>meta6.1b!Z16</f>
        <v>0.62493953758343812</v>
      </c>
    </row>
    <row r="11" spans="2:8" ht="45" customHeight="1" thickBot="1" x14ac:dyDescent="0.25">
      <c r="B11" s="636" t="s">
        <v>146</v>
      </c>
      <c r="C11" s="852" t="s">
        <v>165</v>
      </c>
      <c r="D11" s="853"/>
      <c r="E11" s="646">
        <f>meta6.2!AB16</f>
        <v>0.39</v>
      </c>
      <c r="F11" s="646">
        <f>meta6.2!AC16</f>
        <v>0.18472295981589659</v>
      </c>
      <c r="G11" s="645">
        <f t="shared" si="1"/>
        <v>0.47364861491255533</v>
      </c>
      <c r="H11" s="645">
        <f>meta6.2!Z16</f>
        <v>0.94729722982511066</v>
      </c>
    </row>
    <row r="12" spans="2:8" ht="45" customHeight="1" thickBot="1" x14ac:dyDescent="0.25">
      <c r="B12" s="636" t="s">
        <v>147</v>
      </c>
      <c r="C12" s="852" t="s">
        <v>166</v>
      </c>
      <c r="D12" s="853"/>
      <c r="E12" s="646">
        <f>meta7!AA16</f>
        <v>0.95</v>
      </c>
      <c r="F12" s="646">
        <f>meta7!AB16</f>
        <v>0.50051282051282053</v>
      </c>
      <c r="G12" s="645">
        <f t="shared" si="1"/>
        <v>0.52685560053981106</v>
      </c>
      <c r="H12" s="645">
        <f>meta7!Y16</f>
        <v>1</v>
      </c>
    </row>
    <row r="13" spans="2:8" ht="45" customHeight="1" thickBot="1" x14ac:dyDescent="0.25">
      <c r="B13" s="639" t="s">
        <v>148</v>
      </c>
      <c r="C13" s="855" t="s">
        <v>167</v>
      </c>
      <c r="D13" s="853"/>
      <c r="E13" s="646">
        <f>meta8!AA16</f>
        <v>0.19439999999999999</v>
      </c>
      <c r="F13" s="646">
        <f>meta8!AB16</f>
        <v>8.306878306878307E-2</v>
      </c>
      <c r="G13" s="645">
        <f t="shared" si="1"/>
        <v>0.42730855488057135</v>
      </c>
      <c r="H13" s="645">
        <f>meta8!Y16</f>
        <v>0.85461710976114269</v>
      </c>
    </row>
    <row r="14" spans="2:8" ht="45" customHeight="1" thickBot="1" x14ac:dyDescent="0.25">
      <c r="B14" s="636" t="s">
        <v>149</v>
      </c>
      <c r="C14" s="852" t="s">
        <v>168</v>
      </c>
      <c r="D14" s="853"/>
      <c r="E14" s="646">
        <f>meta9!AB16</f>
        <v>0.46839999999999998</v>
      </c>
      <c r="F14" s="646">
        <f>meta9!AC16</f>
        <v>0.25210934863314211</v>
      </c>
      <c r="G14" s="645">
        <f t="shared" si="1"/>
        <v>0.53823515933634103</v>
      </c>
      <c r="H14" s="645">
        <f>meta9!Z16</f>
        <v>1</v>
      </c>
    </row>
    <row r="15" spans="2:8" ht="45" customHeight="1" thickBot="1" x14ac:dyDescent="0.25">
      <c r="B15" s="636" t="s">
        <v>150</v>
      </c>
      <c r="C15" s="852" t="s">
        <v>169</v>
      </c>
      <c r="D15" s="853"/>
      <c r="E15" s="646">
        <f>meta10a!AB17</f>
        <v>0.23880000000000001</v>
      </c>
      <c r="F15" s="646">
        <f>meta10a!AC17</f>
        <v>0.33932126774642374</v>
      </c>
      <c r="G15" s="645">
        <f t="shared" si="1"/>
        <v>1.4209433322714562</v>
      </c>
      <c r="H15" s="645">
        <f>meta10a!Z17</f>
        <v>1</v>
      </c>
    </row>
    <row r="16" spans="2:8" ht="45" customHeight="1" thickBot="1" x14ac:dyDescent="0.25">
      <c r="B16" s="636" t="s">
        <v>151</v>
      </c>
      <c r="C16" s="852" t="s">
        <v>169</v>
      </c>
      <c r="D16" s="853"/>
      <c r="E16" s="646">
        <f>meta10b!AA16</f>
        <v>6</v>
      </c>
      <c r="F16" s="646">
        <f>meta10b!AB16</f>
        <v>2.6493334802247439</v>
      </c>
      <c r="G16" s="645">
        <f t="shared" si="1"/>
        <v>0.44155558003745732</v>
      </c>
      <c r="H16" s="645">
        <f>meta10b!Y16</f>
        <v>0.88311116007491464</v>
      </c>
    </row>
    <row r="17" spans="2:8" ht="45" customHeight="1" thickBot="1" x14ac:dyDescent="0.25">
      <c r="B17" s="636" t="s">
        <v>152</v>
      </c>
      <c r="C17" s="854" t="s">
        <v>170</v>
      </c>
      <c r="D17" s="853"/>
      <c r="E17" s="646">
        <f>meta12!O8</f>
        <v>0.85</v>
      </c>
      <c r="F17" s="646">
        <f>meta12!P8</f>
        <v>0.9936526549236534</v>
      </c>
      <c r="G17" s="645">
        <f t="shared" si="1"/>
        <v>1.1690031234395923</v>
      </c>
      <c r="H17" s="645">
        <f>meta12!M8</f>
        <v>1</v>
      </c>
    </row>
    <row r="18" spans="2:8" ht="45" customHeight="1" thickBot="1" x14ac:dyDescent="0.25">
      <c r="B18" s="636" t="s">
        <v>153</v>
      </c>
      <c r="C18" s="852" t="s">
        <v>171</v>
      </c>
      <c r="D18" s="853"/>
      <c r="E18" s="646">
        <f>meta13!AM16</f>
        <v>0.90710000000000002</v>
      </c>
      <c r="F18" s="646">
        <f>meta13!AN16</f>
        <v>0.89703315881326351</v>
      </c>
      <c r="G18" s="645">
        <f t="shared" si="1"/>
        <v>0.98890217044787065</v>
      </c>
      <c r="H18" s="645">
        <f>meta13!AK16</f>
        <v>0.98890217044787065</v>
      </c>
    </row>
    <row r="19" spans="2:8" ht="45" customHeight="1" thickBot="1" x14ac:dyDescent="0.25">
      <c r="B19" s="636" t="s">
        <v>154</v>
      </c>
      <c r="C19" s="854" t="s">
        <v>172</v>
      </c>
      <c r="D19" s="853"/>
      <c r="E19" s="646">
        <f>meta14!P16</f>
        <v>0.2344</v>
      </c>
      <c r="F19" s="646">
        <f>meta14!Q16</f>
        <v>0.22805381643799122</v>
      </c>
      <c r="G19" s="645">
        <f t="shared" si="1"/>
        <v>0.97292583804603761</v>
      </c>
      <c r="H19" s="645">
        <f>meta14!N16</f>
        <v>1</v>
      </c>
    </row>
    <row r="20" spans="2:8" ht="45" customHeight="1" thickBot="1" x14ac:dyDescent="0.25">
      <c r="B20" s="636" t="s">
        <v>155</v>
      </c>
      <c r="C20" s="852" t="s">
        <v>173</v>
      </c>
      <c r="D20" s="853"/>
      <c r="E20" s="646">
        <f>meta15!P16</f>
        <v>0.55289999999999995</v>
      </c>
      <c r="F20" s="646">
        <f>meta15!Q16</f>
        <v>0.54738939190841107</v>
      </c>
      <c r="G20" s="645">
        <f t="shared" si="1"/>
        <v>0.99003326443915918</v>
      </c>
      <c r="H20" s="645">
        <f>meta15!N16</f>
        <v>0.99003326443915918</v>
      </c>
    </row>
    <row r="21" spans="2:8" ht="45" customHeight="1" thickBot="1" x14ac:dyDescent="0.25">
      <c r="B21" s="636" t="s">
        <v>156</v>
      </c>
      <c r="C21" s="852" t="s">
        <v>174</v>
      </c>
      <c r="D21" s="853"/>
      <c r="E21" s="646">
        <f>meta16!P16</f>
        <v>0.5423</v>
      </c>
      <c r="F21" s="646">
        <f>meta16!Q16</f>
        <v>0.52023629569091978</v>
      </c>
      <c r="G21" s="645">
        <f t="shared" si="1"/>
        <v>0.9593145780765624</v>
      </c>
      <c r="H21" s="645">
        <f>meta16!N16</f>
        <v>0.9593145780765624</v>
      </c>
    </row>
    <row r="22" spans="2:8" ht="45" customHeight="1" thickBot="1" x14ac:dyDescent="0.25">
      <c r="B22" s="636" t="s">
        <v>157</v>
      </c>
      <c r="C22" s="852" t="s">
        <v>175</v>
      </c>
      <c r="D22" s="853"/>
      <c r="E22" s="646">
        <f>meta17!AB16</f>
        <v>0.95</v>
      </c>
      <c r="F22" s="646">
        <f>meta17!AC16</f>
        <v>0.50830769230769235</v>
      </c>
      <c r="G22" s="645">
        <f t="shared" si="1"/>
        <v>0.53506072874493937</v>
      </c>
      <c r="H22" s="645">
        <f>meta17!Z16</f>
        <v>1</v>
      </c>
    </row>
    <row r="23" spans="2:8" ht="45" customHeight="1" thickBot="1" x14ac:dyDescent="0.25">
      <c r="B23" s="640" t="s">
        <v>158</v>
      </c>
      <c r="C23" s="848" t="s">
        <v>176</v>
      </c>
      <c r="D23" s="849"/>
      <c r="E23" s="646">
        <f>meta18!P16</f>
        <v>0.65900000000000003</v>
      </c>
      <c r="F23" s="646">
        <f>meta18!Q16</f>
        <v>0.87883640245529759</v>
      </c>
      <c r="G23" s="645">
        <f t="shared" si="1"/>
        <v>1.3335908990216958</v>
      </c>
      <c r="H23" s="645">
        <f>meta18!N16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6" activePane="bottomRight" state="frozen"/>
      <selection activeCell="M17" sqref="M17"/>
      <selection pane="topRight" activeCell="M17" sqref="M17"/>
      <selection pane="bottomLeft" activeCell="M17" sqref="M17"/>
      <selection pane="bottomRight" activeCell="Q13" sqref="Q13"/>
    </sheetView>
  </sheetViews>
  <sheetFormatPr baseColWidth="10" defaultColWidth="11.42578125" defaultRowHeight="12.75" x14ac:dyDescent="0.2"/>
  <cols>
    <col min="1" max="1" width="2.140625" style="309" customWidth="1"/>
    <col min="2" max="2" width="1.7109375" style="309" customWidth="1"/>
    <col min="3" max="3" width="29.42578125" style="309" bestFit="1" customWidth="1"/>
    <col min="4" max="4" width="3.140625" style="309" customWidth="1"/>
    <col min="5" max="5" width="12.7109375" style="309" customWidth="1"/>
    <col min="6" max="6" width="2.28515625" style="309" bestFit="1" customWidth="1"/>
    <col min="7" max="7" width="11.140625" style="309" bestFit="1" customWidth="1"/>
    <col min="8" max="8" width="2.28515625" style="309" bestFit="1" customWidth="1"/>
    <col min="9" max="9" width="14.7109375" style="309" customWidth="1"/>
    <col min="10" max="10" width="19" style="309" customWidth="1"/>
    <col min="11" max="11" width="11.85546875" style="309" bestFit="1" customWidth="1"/>
    <col min="12" max="16" width="16.140625" style="309" customWidth="1"/>
    <col min="17" max="17" width="14.7109375" style="309" customWidth="1"/>
    <col min="18" max="18" width="1.28515625" style="309" customWidth="1"/>
    <col min="19" max="19" width="13.140625" style="309" customWidth="1"/>
    <col min="20" max="21" width="12.42578125" style="309" customWidth="1"/>
    <col min="22" max="22" width="1.42578125" style="309" customWidth="1"/>
    <col min="23" max="23" width="9.85546875" style="309" customWidth="1"/>
    <col min="24" max="24" width="0.85546875" style="309" customWidth="1"/>
    <col min="25" max="25" width="11.85546875" style="309" customWidth="1"/>
    <col min="26" max="26" width="16.7109375" style="309" customWidth="1"/>
    <col min="27" max="27" width="0.7109375" style="309" customWidth="1"/>
    <col min="28" max="28" width="11.5703125" style="309" customWidth="1"/>
    <col min="29" max="29" width="0.85546875" style="309" customWidth="1"/>
    <col min="30" max="32" width="11.7109375" style="309" customWidth="1"/>
    <col min="33" max="33" width="11.85546875" style="309" customWidth="1"/>
    <col min="34" max="34" width="24.7109375" style="309" customWidth="1"/>
    <col min="35" max="35" width="0.7109375" style="309" customWidth="1"/>
    <col min="36" max="39" width="11.140625" style="309" customWidth="1"/>
    <col min="40" max="40" width="18.140625" style="309" customWidth="1"/>
    <col min="41" max="41" width="1" style="309" customWidth="1"/>
    <col min="42" max="42" width="18.85546875" style="309" bestFit="1" customWidth="1"/>
    <col min="43" max="43" width="0.7109375" style="309" customWidth="1"/>
    <col min="44" max="44" width="12.28515625" style="309" customWidth="1"/>
    <col min="45" max="16384" width="11.42578125" style="309"/>
  </cols>
  <sheetData>
    <row r="1" spans="3:44" ht="7.5" customHeight="1" x14ac:dyDescent="0.2"/>
    <row r="2" spans="3:44" s="310" customFormat="1" ht="18.75" x14ac:dyDescent="0.3">
      <c r="E2" s="311" t="s">
        <v>454</v>
      </c>
    </row>
    <row r="3" spans="3:44" ht="7.5" customHeight="1" thickBot="1" x14ac:dyDescent="0.25"/>
    <row r="4" spans="3:44" ht="21.75" customHeight="1" x14ac:dyDescent="0.2">
      <c r="C4" s="1006" t="s">
        <v>220</v>
      </c>
      <c r="D4" s="312" t="s">
        <v>221</v>
      </c>
      <c r="E4" s="313" t="s">
        <v>222</v>
      </c>
      <c r="F4" s="314"/>
      <c r="G4" s="313" t="s">
        <v>223</v>
      </c>
      <c r="H4" s="314"/>
      <c r="I4" s="1008" t="s">
        <v>492</v>
      </c>
      <c r="J4" s="1009"/>
      <c r="K4" s="1009"/>
      <c r="L4" s="1010"/>
      <c r="M4" s="1008" t="s">
        <v>493</v>
      </c>
      <c r="N4" s="1009"/>
      <c r="O4" s="1009"/>
      <c r="P4" s="1010"/>
      <c r="Q4" s="313" t="s">
        <v>224</v>
      </c>
      <c r="R4" s="314"/>
      <c r="S4" s="1011" t="s">
        <v>225</v>
      </c>
      <c r="T4" s="1012"/>
      <c r="U4" s="1013"/>
      <c r="V4" s="314"/>
      <c r="W4" s="313" t="s">
        <v>226</v>
      </c>
      <c r="X4" s="314"/>
      <c r="Y4" s="1005" t="s">
        <v>227</v>
      </c>
      <c r="Z4" s="1005"/>
      <c r="AA4" s="314"/>
      <c r="AB4" s="313" t="s">
        <v>228</v>
      </c>
      <c r="AC4" s="314"/>
      <c r="AD4" s="1005" t="s">
        <v>229</v>
      </c>
      <c r="AE4" s="1005"/>
      <c r="AF4" s="1005"/>
      <c r="AG4" s="1005"/>
      <c r="AH4" s="1005"/>
      <c r="AI4" s="314"/>
      <c r="AJ4" s="1005" t="s">
        <v>230</v>
      </c>
      <c r="AK4" s="1005"/>
      <c r="AL4" s="1005"/>
      <c r="AM4" s="1005"/>
      <c r="AN4" s="1005"/>
      <c r="AO4" s="314"/>
      <c r="AP4" s="313" t="s">
        <v>231</v>
      </c>
      <c r="AQ4" s="315"/>
      <c r="AR4" s="316" t="s">
        <v>232</v>
      </c>
    </row>
    <row r="5" spans="3:44" ht="121.5" customHeight="1" thickBot="1" x14ac:dyDescent="0.25">
      <c r="C5" s="1007"/>
      <c r="D5" s="317"/>
      <c r="E5" s="318" t="s">
        <v>233</v>
      </c>
      <c r="F5" s="319"/>
      <c r="G5" s="318" t="s">
        <v>234</v>
      </c>
      <c r="H5" s="319"/>
      <c r="I5" s="318" t="s">
        <v>489</v>
      </c>
      <c r="J5" s="318" t="s">
        <v>490</v>
      </c>
      <c r="K5" s="318" t="s">
        <v>235</v>
      </c>
      <c r="L5" s="318" t="s">
        <v>491</v>
      </c>
      <c r="M5" s="318" t="s">
        <v>486</v>
      </c>
      <c r="N5" s="318" t="s">
        <v>487</v>
      </c>
      <c r="O5" s="318" t="s">
        <v>488</v>
      </c>
      <c r="P5" s="318" t="s">
        <v>236</v>
      </c>
      <c r="Q5" s="318" t="s">
        <v>236</v>
      </c>
      <c r="R5" s="319"/>
      <c r="S5" s="320" t="s">
        <v>237</v>
      </c>
      <c r="T5" s="318" t="s">
        <v>238</v>
      </c>
      <c r="U5" s="321" t="s">
        <v>239</v>
      </c>
      <c r="V5" s="319"/>
      <c r="W5" s="318" t="s">
        <v>240</v>
      </c>
      <c r="X5" s="319"/>
      <c r="Y5" s="318" t="s">
        <v>233</v>
      </c>
      <c r="Z5" s="318" t="s">
        <v>241</v>
      </c>
      <c r="AA5" s="319"/>
      <c r="AB5" s="318" t="s">
        <v>238</v>
      </c>
      <c r="AC5" s="319"/>
      <c r="AD5" s="318" t="s">
        <v>242</v>
      </c>
      <c r="AE5" s="318" t="s">
        <v>243</v>
      </c>
      <c r="AF5" s="318" t="s">
        <v>244</v>
      </c>
      <c r="AG5" s="318" t="s">
        <v>245</v>
      </c>
      <c r="AH5" s="318" t="s">
        <v>246</v>
      </c>
      <c r="AI5" s="319"/>
      <c r="AJ5" s="318" t="s">
        <v>242</v>
      </c>
      <c r="AK5" s="318" t="s">
        <v>243</v>
      </c>
      <c r="AL5" s="318" t="s">
        <v>244</v>
      </c>
      <c r="AM5" s="318" t="s">
        <v>245</v>
      </c>
      <c r="AN5" s="318" t="s">
        <v>247</v>
      </c>
      <c r="AO5" s="319"/>
      <c r="AP5" s="318" t="s">
        <v>248</v>
      </c>
      <c r="AR5" s="322" t="s">
        <v>249</v>
      </c>
    </row>
    <row r="6" spans="3:44" ht="15" x14ac:dyDescent="0.2">
      <c r="C6" s="327" t="s">
        <v>95</v>
      </c>
      <c r="D6" s="315"/>
      <c r="E6" s="625">
        <v>37740.906000000003</v>
      </c>
      <c r="F6" s="324"/>
      <c r="G6" s="323">
        <f t="shared" ref="G6:G13" si="0">+E6/3.3</f>
        <v>11436.638181818184</v>
      </c>
      <c r="H6" s="324"/>
      <c r="I6" s="323">
        <f>SUM('[1]INSCRITA PERCAPITA 2024'!$CF$34:$CN$34)</f>
        <v>12283.214999999998</v>
      </c>
      <c r="J6" s="325"/>
      <c r="K6" s="273"/>
      <c r="L6" s="323">
        <f t="shared" ref="L6:L13" si="1">+I6-J6-K6</f>
        <v>12283.214999999998</v>
      </c>
      <c r="M6" s="323">
        <f>SUM('[1]INSCRITA PERCAPITA 2024'!$AZ$34:$BH$34)</f>
        <v>11048.477999999999</v>
      </c>
      <c r="N6" s="323"/>
      <c r="O6" s="323"/>
      <c r="P6" s="323"/>
      <c r="Q6" s="323">
        <f>SUM('[1]INSCRITA PERCAPITA 2024'!$AC$34:$AG$34)</f>
        <v>9256.0860000000011</v>
      </c>
      <c r="R6" s="324"/>
      <c r="S6" s="323">
        <f>SUM('[1]INSCRITA PERCAPITA 2024'!$N$34:$R$34)</f>
        <v>1702.575</v>
      </c>
      <c r="T6" s="323">
        <f>SUM('[1]INSCRITA PERCAPITA 2024'!$S$34)</f>
        <v>1829.8980000000001</v>
      </c>
      <c r="U6" s="326">
        <f>SUM(S6:T6)</f>
        <v>3532.473</v>
      </c>
      <c r="V6" s="324"/>
      <c r="W6" s="323">
        <f>SUM('[1]INSCRITA PERCAPITA 2024'!$D$34:$S$34)</f>
        <v>5153.1270000000004</v>
      </c>
      <c r="X6" s="324"/>
      <c r="Y6" s="323">
        <f t="shared" ref="Y6:Y12" si="2">E6</f>
        <v>37740.906000000003</v>
      </c>
      <c r="Z6" s="323">
        <f t="shared" ref="Z6:Z13" si="3">+Y6*22%</f>
        <v>8302.9993200000008</v>
      </c>
      <c r="AA6" s="324"/>
      <c r="AB6" s="323">
        <f>T6</f>
        <v>1829.8980000000001</v>
      </c>
      <c r="AC6" s="324"/>
      <c r="AD6" s="323">
        <f>SUM('[1]INSCRITA PERCAPITA 2024'!$S$34:$T$34)</f>
        <v>4021.038</v>
      </c>
      <c r="AE6" s="323">
        <f>SUM('[1]INSCRITA PERCAPITA 2024'!$U$34:$X$34)</f>
        <v>10629.99</v>
      </c>
      <c r="AF6" s="323">
        <f>SUM('[1]INSCRITA PERCAPITA 2024'!$Y$34:$AB$34)</f>
        <v>10510.563</v>
      </c>
      <c r="AG6" s="323">
        <f>SUM('[1]INSCRITA PERCAPITA 2024'!$AC$34:$AG$34)</f>
        <v>9256.0860000000011</v>
      </c>
      <c r="AH6" s="328">
        <f>+AD6*1.8%+AE6*6.3%+AF6*18.3%+AG6*30.6%</f>
        <v>5497.8633989999998</v>
      </c>
      <c r="AI6" s="324"/>
      <c r="AJ6" s="323">
        <f>AD6</f>
        <v>4021.038</v>
      </c>
      <c r="AK6" s="323">
        <f>AE6</f>
        <v>10629.99</v>
      </c>
      <c r="AL6" s="323">
        <f>AF6</f>
        <v>10510.563</v>
      </c>
      <c r="AM6" s="323">
        <f>AG6</f>
        <v>9256.0860000000011</v>
      </c>
      <c r="AN6" s="323">
        <f t="shared" ref="AN6:AN13" si="4">+AJ6*0.7%+AK6*10.6%+AL6*45.1%+AM6*73.3%</f>
        <v>12679.901157</v>
      </c>
      <c r="AO6" s="324"/>
      <c r="AP6" s="323">
        <f>SUM('[1]INSCRITA PERCAPITA 2024'!$D$34:$F$34)</f>
        <v>321.762</v>
      </c>
      <c r="AQ6" s="324"/>
      <c r="AR6" s="323">
        <f>SUM('[1]INSCRITA PERCAPITA 2024'!$D$34:$I$34)</f>
        <v>675.10799999999995</v>
      </c>
    </row>
    <row r="7" spans="3:44" ht="15.95" customHeight="1" x14ac:dyDescent="0.2">
      <c r="C7" s="327" t="s">
        <v>96</v>
      </c>
      <c r="E7" s="625">
        <v>23185</v>
      </c>
      <c r="G7" s="328">
        <f t="shared" si="0"/>
        <v>7025.757575757576</v>
      </c>
      <c r="I7" s="323">
        <f>SUM('[1]INSCRITA PERCAPITA 2024'!$CF$35:$CN$35)</f>
        <v>7850</v>
      </c>
      <c r="J7" s="328"/>
      <c r="K7" s="273"/>
      <c r="L7" s="328">
        <f t="shared" si="1"/>
        <v>7850</v>
      </c>
      <c r="M7" s="323">
        <f>SUM('[1]INSCRITA PERCAPITA 2024'!$AZ$35:$BH$35)</f>
        <v>6703</v>
      </c>
      <c r="N7" s="709"/>
      <c r="O7" s="709"/>
      <c r="P7" s="709"/>
      <c r="Q7" s="323">
        <f>SUM('[1]INSCRITA PERCAPITA 2024'!$AC$35:$AG$35)</f>
        <v>4292</v>
      </c>
      <c r="S7" s="323">
        <f>SUM('[1]INSCRITA PERCAPITA 2024'!$N$35:$R$35)</f>
        <v>1449</v>
      </c>
      <c r="T7" s="323">
        <f>SUM('[1]INSCRITA PERCAPITA 2024'!$S$35)</f>
        <v>1565</v>
      </c>
      <c r="U7" s="326">
        <f t="shared" ref="U7:U12" si="5">SUM(S7:T7)</f>
        <v>3014</v>
      </c>
      <c r="W7" s="323">
        <f>SUM('[1]INSCRITA PERCAPITA 2024'!$D$35:$S$35)</f>
        <v>4340</v>
      </c>
      <c r="Y7" s="323">
        <f t="shared" si="2"/>
        <v>23185</v>
      </c>
      <c r="Z7" s="328">
        <f t="shared" si="3"/>
        <v>5100.7</v>
      </c>
      <c r="AB7" s="323">
        <f t="shared" ref="AB7:AB12" si="6">T7</f>
        <v>1565</v>
      </c>
      <c r="AD7" s="323">
        <f>SUM('[1]INSCRITA PERCAPITA 2024'!$S$35:$T$35)</f>
        <v>3102</v>
      </c>
      <c r="AE7" s="323">
        <f>SUM('[1]INSCRITA PERCAPITA 2024'!$U$35:$X$35)</f>
        <v>6893</v>
      </c>
      <c r="AF7" s="323">
        <f>SUM('[1]INSCRITA PERCAPITA 2024'!$Y$35:$AB$35)</f>
        <v>6123</v>
      </c>
      <c r="AG7" s="323">
        <f>SUM('[1]INSCRITA PERCAPITA 2024'!$AC$35:$AG$35)</f>
        <v>4292</v>
      </c>
      <c r="AH7" s="328">
        <f>+AD7*1.8%+AE7*6.3%+AF7*18.3%+AG7*30.6%</f>
        <v>2923.9560000000001</v>
      </c>
      <c r="AJ7" s="323">
        <f t="shared" ref="AJ7:AJ12" si="7">AD7</f>
        <v>3102</v>
      </c>
      <c r="AK7" s="323">
        <f t="shared" ref="AK7:AK12" si="8">AE7</f>
        <v>6893</v>
      </c>
      <c r="AL7" s="323">
        <f t="shared" ref="AL7:AL12" si="9">AF7</f>
        <v>6123</v>
      </c>
      <c r="AM7" s="323">
        <f t="shared" ref="AM7:AM12" si="10">AG7</f>
        <v>4292</v>
      </c>
      <c r="AN7" s="328">
        <f t="shared" si="4"/>
        <v>6659.8810000000003</v>
      </c>
      <c r="AP7" s="323">
        <f>SUM('[1]INSCRITA PERCAPITA 2024'!$D$35:$F$35)</f>
        <v>106</v>
      </c>
      <c r="AR7" s="323">
        <f>SUM('[1]INSCRITA PERCAPITA 2024'!$D$35:$I$35)</f>
        <v>362</v>
      </c>
    </row>
    <row r="8" spans="3:44" ht="15.95" customHeight="1" x14ac:dyDescent="0.2">
      <c r="C8" s="327" t="s">
        <v>97</v>
      </c>
      <c r="E8" s="625">
        <v>18288</v>
      </c>
      <c r="G8" s="328">
        <f t="shared" si="0"/>
        <v>5541.818181818182</v>
      </c>
      <c r="I8" s="328">
        <f>SUM('[1]INSCRITA PERCAPITA 2024'!$CF$38:$CN$38)</f>
        <v>6728</v>
      </c>
      <c r="J8" s="328"/>
      <c r="K8" s="273"/>
      <c r="L8" s="328">
        <f t="shared" si="1"/>
        <v>6728</v>
      </c>
      <c r="M8" s="323">
        <f>SUM('[1]INSCRITA PERCAPITA 2024'!$AZ$38:$BH$38)</f>
        <v>4580</v>
      </c>
      <c r="N8" s="328"/>
      <c r="O8" s="328"/>
      <c r="P8" s="328"/>
      <c r="Q8" s="328">
        <f>SUM('[1]INSCRITA PERCAPITA 2024'!$AC$38:$AG$38)</f>
        <v>2583</v>
      </c>
      <c r="S8" s="323">
        <f>SUM('[1]INSCRITA PERCAPITA 2024'!$N$38:$R$38)</f>
        <v>1280</v>
      </c>
      <c r="T8" s="323">
        <f>SUM('[1]INSCRITA PERCAPITA 2024'!$S$38)</f>
        <v>1290</v>
      </c>
      <c r="U8" s="326">
        <f t="shared" si="5"/>
        <v>2570</v>
      </c>
      <c r="W8" s="323">
        <f>SUM('[1]INSCRITA PERCAPITA 2024'!$D$38:$S$38)</f>
        <v>4397</v>
      </c>
      <c r="Y8" s="323">
        <f t="shared" si="2"/>
        <v>18288</v>
      </c>
      <c r="Z8" s="328">
        <f t="shared" si="3"/>
        <v>4023.36</v>
      </c>
      <c r="AB8" s="323">
        <f t="shared" si="6"/>
        <v>1290</v>
      </c>
      <c r="AD8" s="323">
        <f>SUM('[1]INSCRITA PERCAPITA 2024'!$S$38:$T$38)</f>
        <v>2657</v>
      </c>
      <c r="AE8" s="323">
        <f>SUM('[1]INSCRITA PERCAPITA 2024'!$U$38:$X$38)</f>
        <v>5379</v>
      </c>
      <c r="AF8" s="323">
        <f>SUM('[1]INSCRITA PERCAPITA 2024'!$Y$38:$AB$38)</f>
        <v>4562</v>
      </c>
      <c r="AG8" s="323">
        <f>SUM('[1]INSCRITA PERCAPITA 2024'!$AC$38:$AG$38)</f>
        <v>2583</v>
      </c>
      <c r="AH8" s="328">
        <f t="shared" ref="AH8:AH13" si="11">+AD8*1.8%+AE8*6.3%+AF8*18.3%+AG8*30.6%</f>
        <v>2011.9470000000001</v>
      </c>
      <c r="AJ8" s="323">
        <f t="shared" si="7"/>
        <v>2657</v>
      </c>
      <c r="AK8" s="323">
        <f t="shared" si="8"/>
        <v>5379</v>
      </c>
      <c r="AL8" s="323">
        <f t="shared" si="9"/>
        <v>4562</v>
      </c>
      <c r="AM8" s="323">
        <f t="shared" si="10"/>
        <v>2583</v>
      </c>
      <c r="AN8" s="328">
        <f t="shared" si="4"/>
        <v>4539.5740000000005</v>
      </c>
      <c r="AP8" s="323">
        <f>SUM('[1]INSCRITA PERCAPITA 2024'!$D$38:$F$38)</f>
        <v>496</v>
      </c>
      <c r="AR8" s="323">
        <f>SUM('[1]INSCRITA PERCAPITA 2024'!$D$38:$I$38)</f>
        <v>938</v>
      </c>
    </row>
    <row r="9" spans="3:44" ht="15.95" customHeight="1" x14ac:dyDescent="0.2">
      <c r="C9" s="327" t="s">
        <v>98</v>
      </c>
      <c r="E9" s="625">
        <v>18492.717600000004</v>
      </c>
      <c r="G9" s="328">
        <f t="shared" si="0"/>
        <v>5603.8538181818194</v>
      </c>
      <c r="I9" s="328">
        <f>SUM('[1]INSCRITA PERCAPITA 2024'!$CF$37:$CN$37)</f>
        <v>6306.6552000000011</v>
      </c>
      <c r="J9" s="328"/>
      <c r="K9" s="273"/>
      <c r="L9" s="328">
        <f t="shared" si="1"/>
        <v>6306.6552000000011</v>
      </c>
      <c r="M9" s="323">
        <f>SUM('[1]INSCRITA PERCAPITA 2024'!$AZ$37:$BH$37)</f>
        <v>5028.0760000000009</v>
      </c>
      <c r="N9" s="328"/>
      <c r="O9" s="328"/>
      <c r="P9" s="328"/>
      <c r="Q9" s="328">
        <f>SUM('[1]INSCRITA PERCAPITA 2024'!$AC$37:$AG$37)</f>
        <v>2876.8032000000003</v>
      </c>
      <c r="S9" s="323">
        <f>SUM('[1]INSCRITA PERCAPITA 2024'!$N$37:$R$37)</f>
        <v>1441.5663999999997</v>
      </c>
      <c r="T9" s="323">
        <f>SUM('[1]INSCRITA PERCAPITA 2024'!$S$37)</f>
        <v>1272.2496000000001</v>
      </c>
      <c r="U9" s="326">
        <f t="shared" si="5"/>
        <v>2713.8159999999998</v>
      </c>
      <c r="W9" s="323">
        <f>SUM('[1]INSCRITA PERCAPITA 2024'!$D$37:$S$37)</f>
        <v>4281.1831999999995</v>
      </c>
      <c r="Y9" s="323">
        <f t="shared" si="2"/>
        <v>18492.717600000004</v>
      </c>
      <c r="Z9" s="328">
        <f t="shared" si="3"/>
        <v>4068.3978720000009</v>
      </c>
      <c r="AB9" s="323">
        <f t="shared" si="6"/>
        <v>1272.2496000000001</v>
      </c>
      <c r="AD9" s="323">
        <f>SUM('[1]INSCRITA PERCAPITA 2024'!$S$37:$T$37)</f>
        <v>2614.1248000000001</v>
      </c>
      <c r="AE9" s="323">
        <f>SUM('[1]INSCRITA PERCAPITA 2024'!$U$37:$X$37)</f>
        <v>5585.8719999999994</v>
      </c>
      <c r="AF9" s="323">
        <f>SUM('[1]INSCRITA PERCAPITA 2024'!$Y$37:$AB$37)</f>
        <v>4406.9840000000004</v>
      </c>
      <c r="AG9" s="323">
        <f>SUM('[1]INSCRITA PERCAPITA 2024'!$AC$37:$AG$37)</f>
        <v>2876.8032000000003</v>
      </c>
      <c r="AH9" s="328">
        <f t="shared" si="11"/>
        <v>2085.7440336</v>
      </c>
      <c r="AJ9" s="323">
        <f t="shared" si="7"/>
        <v>2614.1248000000001</v>
      </c>
      <c r="AK9" s="323">
        <f t="shared" si="8"/>
        <v>5585.8719999999994</v>
      </c>
      <c r="AL9" s="323">
        <f t="shared" si="9"/>
        <v>4406.9840000000004</v>
      </c>
      <c r="AM9" s="323">
        <f t="shared" si="10"/>
        <v>2876.8032000000003</v>
      </c>
      <c r="AN9" s="328">
        <f t="shared" si="4"/>
        <v>4706.6478352000004</v>
      </c>
      <c r="AP9" s="323">
        <f>SUM('[1]INSCRITA PERCAPITA 2024'!$D$37:$F$37)</f>
        <v>304.61200000000002</v>
      </c>
      <c r="AR9" s="323">
        <f>SUM('[1]INSCRITA PERCAPITA 2024'!$D$37:$I$37)</f>
        <v>669.35519999999997</v>
      </c>
    </row>
    <row r="10" spans="3:44" ht="15" x14ac:dyDescent="0.2">
      <c r="C10" s="327" t="s">
        <v>99</v>
      </c>
      <c r="E10" s="625">
        <v>18509</v>
      </c>
      <c r="G10" s="328">
        <f t="shared" si="0"/>
        <v>5608.787878787879</v>
      </c>
      <c r="I10" s="328">
        <f>SUM('[1]INSCRITA PERCAPITA 2024'!$CF$36:$CN$36)</f>
        <v>6118</v>
      </c>
      <c r="J10" s="328"/>
      <c r="K10" s="273"/>
      <c r="L10" s="328">
        <f t="shared" si="1"/>
        <v>6118</v>
      </c>
      <c r="M10" s="323">
        <f>SUM('[1]INSCRITA PERCAPITA 2024'!$AZ$36:$BH$36)</f>
        <v>5349</v>
      </c>
      <c r="N10" s="328"/>
      <c r="O10" s="328"/>
      <c r="P10" s="328"/>
      <c r="Q10" s="328">
        <f>SUM('[1]INSCRITA PERCAPITA 2024'!$AC$36:$AG$36)</f>
        <v>2707</v>
      </c>
      <c r="S10" s="323">
        <f>SUM('[1]INSCRITA PERCAPITA 2024'!$N$36:$R$36)</f>
        <v>1337</v>
      </c>
      <c r="T10" s="323">
        <f>SUM('[1]INSCRITA PERCAPITA 2024'!$S$36)</f>
        <v>1190</v>
      </c>
      <c r="U10" s="326">
        <f t="shared" si="5"/>
        <v>2527</v>
      </c>
      <c r="W10" s="323">
        <f>SUM('[1]INSCRITA PERCAPITA 2024'!$D$36:$S$36)</f>
        <v>4335</v>
      </c>
      <c r="Y10" s="323">
        <f t="shared" si="2"/>
        <v>18509</v>
      </c>
      <c r="Z10" s="328">
        <f t="shared" si="3"/>
        <v>4071.98</v>
      </c>
      <c r="AB10" s="323">
        <f t="shared" si="6"/>
        <v>1190</v>
      </c>
      <c r="AD10" s="323">
        <f>SUM('[1]INSCRITA PERCAPITA 2024'!$S$36:$T$36)</f>
        <v>2511</v>
      </c>
      <c r="AE10" s="323">
        <f>SUM('[1]INSCRITA PERCAPITA 2024'!$U$36:$X$36)</f>
        <v>5747</v>
      </c>
      <c r="AF10" s="323">
        <f>SUM('[1]INSCRITA PERCAPITA 2024'!$Y$36:$AB$36)</f>
        <v>4399</v>
      </c>
      <c r="AG10" s="323">
        <f>SUM('[1]INSCRITA PERCAPITA 2024'!$AC$36:$AG$36)</f>
        <v>2707</v>
      </c>
      <c r="AH10" s="328">
        <f t="shared" si="11"/>
        <v>2040.6179999999999</v>
      </c>
      <c r="AJ10" s="323">
        <f t="shared" si="7"/>
        <v>2511</v>
      </c>
      <c r="AK10" s="323">
        <f t="shared" si="8"/>
        <v>5747</v>
      </c>
      <c r="AL10" s="323">
        <f t="shared" si="9"/>
        <v>4399</v>
      </c>
      <c r="AM10" s="323">
        <f t="shared" si="10"/>
        <v>2707</v>
      </c>
      <c r="AN10" s="328">
        <f t="shared" si="4"/>
        <v>4594.9390000000003</v>
      </c>
      <c r="AP10" s="323">
        <f>SUM('[1]INSCRITA PERCAPITA 2024'!$D$36:$F$36)</f>
        <v>312</v>
      </c>
      <c r="AR10" s="323">
        <f>SUM('[1]INSCRITA PERCAPITA 2024'!$D$36:$I$36)</f>
        <v>917</v>
      </c>
    </row>
    <row r="11" spans="3:44" ht="15.95" customHeight="1" x14ac:dyDescent="0.2">
      <c r="C11" s="327" t="s">
        <v>100</v>
      </c>
      <c r="E11" s="625">
        <v>497.09399999999994</v>
      </c>
      <c r="G11" s="328">
        <f t="shared" si="0"/>
        <v>150.63454545454545</v>
      </c>
      <c r="I11" s="328">
        <f>SUM('[1]INSCRITA PERCAPITA 2024'!$CF$39:$CN$39)</f>
        <v>161.785</v>
      </c>
      <c r="J11" s="328"/>
      <c r="K11" s="273"/>
      <c r="L11" s="328">
        <f t="shared" si="1"/>
        <v>161.785</v>
      </c>
      <c r="M11" s="323">
        <f>SUM('[1]INSCRITA PERCAPITA 2024'!$AZ$39:$BH$39)</f>
        <v>145.52199999999996</v>
      </c>
      <c r="N11" s="328"/>
      <c r="O11" s="328"/>
      <c r="P11" s="328"/>
      <c r="Q11" s="328">
        <f>SUM('[1]INSCRITA PERCAPITA 2024'!$AC$39:$AG$39)</f>
        <v>121.91399999999999</v>
      </c>
      <c r="S11" s="323">
        <f>SUM('[1]INSCRITA PERCAPITA 2024'!$N$39:$R$39)</f>
        <v>22.424999999999997</v>
      </c>
      <c r="T11" s="323">
        <f>SUM('[1]INSCRITA PERCAPITA 2024'!$S$39)</f>
        <v>24.101999999999997</v>
      </c>
      <c r="U11" s="326">
        <f t="shared" si="5"/>
        <v>46.526999999999994</v>
      </c>
      <c r="W11" s="323">
        <f>SUM('[1]INSCRITA PERCAPITA 2024'!$D$39:$S$39)</f>
        <v>67.87299999999999</v>
      </c>
      <c r="Y11" s="323">
        <f t="shared" si="2"/>
        <v>497.09399999999994</v>
      </c>
      <c r="Z11" s="328">
        <f t="shared" si="3"/>
        <v>109.36067999999999</v>
      </c>
      <c r="AB11" s="323">
        <f t="shared" si="6"/>
        <v>24.101999999999997</v>
      </c>
      <c r="AD11" s="323">
        <f>SUM('[1]INSCRITA PERCAPITA 2024'!$S$39:$T$39)</f>
        <v>52.961999999999996</v>
      </c>
      <c r="AE11" s="323">
        <f>SUM('[1]INSCRITA PERCAPITA 2024'!$U$39:$X$39)</f>
        <v>140.01</v>
      </c>
      <c r="AF11" s="323">
        <f>SUM('[1]INSCRITA PERCAPITA 2024'!$Y$39:$AB$39)</f>
        <v>138.43700000000001</v>
      </c>
      <c r="AG11" s="323">
        <f>SUM('[1]INSCRITA PERCAPITA 2024'!$AC$39:$AG$39)</f>
        <v>121.91399999999999</v>
      </c>
      <c r="AH11" s="328">
        <f t="shared" si="11"/>
        <v>72.413601</v>
      </c>
      <c r="AJ11" s="323">
        <f t="shared" si="7"/>
        <v>52.961999999999996</v>
      </c>
      <c r="AK11" s="323">
        <f t="shared" si="8"/>
        <v>140.01</v>
      </c>
      <c r="AL11" s="323">
        <f t="shared" si="9"/>
        <v>138.43700000000001</v>
      </c>
      <c r="AM11" s="323">
        <f t="shared" si="10"/>
        <v>121.91399999999999</v>
      </c>
      <c r="AN11" s="328">
        <f t="shared" si="4"/>
        <v>167.00984299999999</v>
      </c>
      <c r="AP11" s="323">
        <f>SUM('[1]INSCRITA PERCAPITA 2024'!$D$39:$F$39)</f>
        <v>4.2379999999999995</v>
      </c>
      <c r="AR11" s="323">
        <f>SUM('[1]INSCRITA PERCAPITA 2024'!$D$39:$I$39)</f>
        <v>8.8919999999999995</v>
      </c>
    </row>
    <row r="12" spans="3:44" ht="15.95" customHeight="1" x14ac:dyDescent="0.2">
      <c r="C12" s="327" t="s">
        <v>101</v>
      </c>
      <c r="E12" s="625">
        <v>4880.282400000001</v>
      </c>
      <c r="G12" s="328">
        <f t="shared" si="0"/>
        <v>1478.8734545454549</v>
      </c>
      <c r="I12" s="328">
        <f>SUM('[1]INSCRITA PERCAPITA 2024'!$CF$40:$CN$40)</f>
        <v>1664.3448000000001</v>
      </c>
      <c r="J12" s="328"/>
      <c r="K12" s="273"/>
      <c r="L12" s="328">
        <f t="shared" si="1"/>
        <v>1664.3448000000001</v>
      </c>
      <c r="M12" s="323">
        <f>SUM('[1]INSCRITA PERCAPITA 2024'!$AZ$40:$BH$40)</f>
        <v>1326.9240000000002</v>
      </c>
      <c r="N12" s="328"/>
      <c r="O12" s="328"/>
      <c r="P12" s="328"/>
      <c r="Q12" s="328">
        <f>SUM('[1]INSCRITA PERCAPITA 2024'!$AC$40:$AG$40)</f>
        <v>759.19680000000005</v>
      </c>
      <c r="S12" s="323">
        <f>SUM('[1]INSCRITA PERCAPITA 2024'!$N$40:$R$40)</f>
        <v>380.43360000000007</v>
      </c>
      <c r="T12" s="323">
        <f>SUM('[1]INSCRITA PERCAPITA 2024'!$S$40)</f>
        <v>335.75040000000001</v>
      </c>
      <c r="U12" s="326">
        <f t="shared" si="5"/>
        <v>716.18400000000008</v>
      </c>
      <c r="W12" s="323">
        <f>SUM('[1]INSCRITA PERCAPITA 2024'!$D$40:$S$40)</f>
        <v>1129.8168000000001</v>
      </c>
      <c r="Y12" s="323">
        <f t="shared" si="2"/>
        <v>4880.282400000001</v>
      </c>
      <c r="Z12" s="328">
        <f t="shared" si="3"/>
        <v>1073.6621280000002</v>
      </c>
      <c r="AB12" s="323">
        <f t="shared" si="6"/>
        <v>335.75040000000001</v>
      </c>
      <c r="AD12" s="323">
        <f>SUM('[1]INSCRITA PERCAPITA 2024'!$S$40:$T$40)</f>
        <v>689.87520000000006</v>
      </c>
      <c r="AE12" s="323">
        <f>SUM('[1]INSCRITA PERCAPITA 2024'!$U$40:$X$40)</f>
        <v>1474.1280000000002</v>
      </c>
      <c r="AF12" s="323">
        <f>SUM('[1]INSCRITA PERCAPITA 2024'!$Y$40:$AB$40)</f>
        <v>1163.0160000000001</v>
      </c>
      <c r="AG12" s="323">
        <f>SUM('[1]INSCRITA PERCAPITA 2024'!$AC$40:$AG$40)</f>
        <v>759.19680000000005</v>
      </c>
      <c r="AH12" s="328">
        <f t="shared" si="11"/>
        <v>550.43396640000003</v>
      </c>
      <c r="AJ12" s="323">
        <f t="shared" si="7"/>
        <v>689.87520000000006</v>
      </c>
      <c r="AK12" s="323">
        <f t="shared" si="8"/>
        <v>1474.1280000000002</v>
      </c>
      <c r="AL12" s="323">
        <f t="shared" si="9"/>
        <v>1163.0160000000001</v>
      </c>
      <c r="AM12" s="323">
        <f t="shared" si="10"/>
        <v>759.19680000000005</v>
      </c>
      <c r="AN12" s="328">
        <f t="shared" si="4"/>
        <v>1242.0981648000002</v>
      </c>
      <c r="AP12" s="323">
        <f>SUM('[1]INSCRITA PERCAPITA 2024'!$D$40:$F$40)</f>
        <v>80.388000000000005</v>
      </c>
      <c r="AR12" s="323">
        <f>SUM('[1]INSCRITA PERCAPITA 2024'!$D$40:$I$40)</f>
        <v>176.6448</v>
      </c>
    </row>
    <row r="13" spans="3:44" ht="15.95" customHeight="1" x14ac:dyDescent="0.2">
      <c r="C13" s="327" t="s">
        <v>15</v>
      </c>
      <c r="E13" s="328">
        <f>SUM(E6:E12)</f>
        <v>121593</v>
      </c>
      <c r="G13" s="328">
        <f t="shared" si="0"/>
        <v>36846.36363636364</v>
      </c>
      <c r="I13" s="328">
        <f>SUM(I6:I12)</f>
        <v>41112</v>
      </c>
      <c r="J13" s="328"/>
      <c r="K13" s="328"/>
      <c r="L13" s="328">
        <f t="shared" si="1"/>
        <v>41112</v>
      </c>
      <c r="M13" s="328">
        <f>SUM(M6:M12)</f>
        <v>34181</v>
      </c>
      <c r="N13" s="328"/>
      <c r="O13" s="328"/>
      <c r="P13" s="328"/>
      <c r="Q13" s="328">
        <f>SUM(Q6:Q12)</f>
        <v>22596.000000000004</v>
      </c>
      <c r="S13" s="329">
        <f t="shared" ref="S13:T13" si="12">SUM(S6:S12)</f>
        <v>7613</v>
      </c>
      <c r="T13" s="329">
        <f t="shared" si="12"/>
        <v>7507</v>
      </c>
      <c r="U13" s="329">
        <f>SUM(U6:U12)</f>
        <v>15120</v>
      </c>
      <c r="W13" s="329">
        <f>SUM(W6:W12)</f>
        <v>23704</v>
      </c>
      <c r="Y13" s="328">
        <f>SUM(Y6:Y12)</f>
        <v>121593</v>
      </c>
      <c r="Z13" s="328">
        <f t="shared" si="3"/>
        <v>26750.46</v>
      </c>
      <c r="AB13" s="328">
        <f>SUM(AB6:AB12)</f>
        <v>7507</v>
      </c>
      <c r="AD13" s="328">
        <f>SUM(AD6:AD12)</f>
        <v>15648</v>
      </c>
      <c r="AE13" s="328">
        <f>SUM(AE6:AE12)</f>
        <v>35848.999999999993</v>
      </c>
      <c r="AF13" s="328">
        <f>SUM(AF6:AF12)</f>
        <v>31303.000000000004</v>
      </c>
      <c r="AG13" s="328">
        <f>SUM(AG6:AG12)</f>
        <v>22596.000000000004</v>
      </c>
      <c r="AH13" s="328">
        <f t="shared" si="11"/>
        <v>15182.976000000002</v>
      </c>
      <c r="AJ13" s="328">
        <f>SUM(AJ6:AJ12)</f>
        <v>15648</v>
      </c>
      <c r="AK13" s="328">
        <f>SUM(AK6:AK12)</f>
        <v>35848.999999999993</v>
      </c>
      <c r="AL13" s="328">
        <f>SUM(AL6:AL12)</f>
        <v>31303.000000000004</v>
      </c>
      <c r="AM13" s="328">
        <f>SUM(AM6:AM12)</f>
        <v>22596.000000000004</v>
      </c>
      <c r="AN13" s="328">
        <f t="shared" si="4"/>
        <v>34590.051000000007</v>
      </c>
      <c r="AP13" s="328">
        <f>SUM(AP6:AP12)</f>
        <v>1625</v>
      </c>
      <c r="AR13" s="328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30" t="s">
        <v>203</v>
      </c>
      <c r="D15" s="331"/>
      <c r="E15" s="332">
        <f>SUM(E13)</f>
        <v>121593</v>
      </c>
      <c r="F15" s="332"/>
      <c r="G15" s="332">
        <f t="shared" ref="G15:AR15" si="13">SUM(G13)</f>
        <v>36846.36363636364</v>
      </c>
      <c r="H15" s="332"/>
      <c r="I15" s="332">
        <f t="shared" si="13"/>
        <v>41112</v>
      </c>
      <c r="J15" s="332">
        <f t="shared" si="13"/>
        <v>0</v>
      </c>
      <c r="K15" s="332">
        <f t="shared" si="13"/>
        <v>0</v>
      </c>
      <c r="L15" s="332">
        <f t="shared" si="13"/>
        <v>41112</v>
      </c>
      <c r="M15" s="332">
        <f t="shared" si="13"/>
        <v>34181</v>
      </c>
      <c r="N15" s="332"/>
      <c r="O15" s="332"/>
      <c r="P15" s="332"/>
      <c r="Q15" s="332">
        <f t="shared" si="13"/>
        <v>22596.000000000004</v>
      </c>
      <c r="R15" s="332">
        <f t="shared" si="13"/>
        <v>0</v>
      </c>
      <c r="S15" s="332">
        <f t="shared" si="13"/>
        <v>7613</v>
      </c>
      <c r="T15" s="332">
        <f t="shared" si="13"/>
        <v>7507</v>
      </c>
      <c r="U15" s="332">
        <f t="shared" si="13"/>
        <v>15120</v>
      </c>
      <c r="V15" s="332">
        <f t="shared" si="13"/>
        <v>0</v>
      </c>
      <c r="W15" s="332">
        <f>SUM(W13)</f>
        <v>23704</v>
      </c>
      <c r="X15" s="332">
        <f t="shared" si="13"/>
        <v>0</v>
      </c>
      <c r="Y15" s="332">
        <f t="shared" si="13"/>
        <v>121593</v>
      </c>
      <c r="Z15" s="332">
        <f t="shared" si="13"/>
        <v>26750.46</v>
      </c>
      <c r="AA15" s="332">
        <f t="shared" si="13"/>
        <v>0</v>
      </c>
      <c r="AB15" s="332">
        <f t="shared" si="13"/>
        <v>7507</v>
      </c>
      <c r="AC15" s="332">
        <f t="shared" si="13"/>
        <v>0</v>
      </c>
      <c r="AD15" s="332">
        <f t="shared" si="13"/>
        <v>15648</v>
      </c>
      <c r="AE15" s="332">
        <f t="shared" si="13"/>
        <v>35848.999999999993</v>
      </c>
      <c r="AF15" s="332">
        <f t="shared" si="13"/>
        <v>31303.000000000004</v>
      </c>
      <c r="AG15" s="332">
        <f t="shared" si="13"/>
        <v>22596.000000000004</v>
      </c>
      <c r="AH15" s="332">
        <f t="shared" si="13"/>
        <v>15182.976000000002</v>
      </c>
      <c r="AI15" s="332">
        <f t="shared" si="13"/>
        <v>0</v>
      </c>
      <c r="AJ15" s="332">
        <f t="shared" si="13"/>
        <v>15648</v>
      </c>
      <c r="AK15" s="332">
        <f t="shared" si="13"/>
        <v>35848.999999999993</v>
      </c>
      <c r="AL15" s="332">
        <f t="shared" si="13"/>
        <v>31303.000000000004</v>
      </c>
      <c r="AM15" s="332">
        <f t="shared" si="13"/>
        <v>22596.000000000004</v>
      </c>
      <c r="AN15" s="332">
        <f t="shared" si="13"/>
        <v>34590.051000000007</v>
      </c>
      <c r="AO15" s="332">
        <f t="shared" si="13"/>
        <v>0</v>
      </c>
      <c r="AP15" s="332">
        <f t="shared" si="13"/>
        <v>1625</v>
      </c>
      <c r="AQ15" s="332">
        <f t="shared" si="13"/>
        <v>0</v>
      </c>
      <c r="AR15" s="332">
        <f t="shared" si="13"/>
        <v>3747</v>
      </c>
    </row>
    <row r="20" spans="38:38" x14ac:dyDescent="0.2">
      <c r="AL20" s="536" t="s">
        <v>426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5" customWidth="1"/>
    <col min="2" max="2" width="8.5703125" style="382" customWidth="1"/>
    <col min="3" max="3" width="44.5703125" style="385" customWidth="1"/>
    <col min="4" max="4" width="20.140625" style="385" bestFit="1" customWidth="1"/>
    <col min="5" max="5" width="8" style="382" customWidth="1"/>
    <col min="6" max="6" width="46.85546875" style="385" customWidth="1"/>
    <col min="7" max="7" width="45.5703125" style="385" customWidth="1"/>
    <col min="8" max="8" width="8" style="382" customWidth="1"/>
    <col min="9" max="9" width="39.85546875" style="385" customWidth="1"/>
    <col min="10" max="10" width="30.28515625" style="385" customWidth="1"/>
    <col min="11" max="11" width="7.140625" style="382" customWidth="1"/>
    <col min="12" max="12" width="27" style="385" customWidth="1"/>
    <col min="13" max="13" width="58.140625" style="385" customWidth="1"/>
    <col min="14" max="14" width="23.5703125" style="385" customWidth="1"/>
    <col min="15" max="15" width="26.5703125" style="385" customWidth="1"/>
    <col min="16" max="17" width="25" style="385" customWidth="1"/>
    <col min="18" max="18" width="20.7109375" style="385" customWidth="1"/>
    <col min="19" max="19" width="8.5703125" style="382" customWidth="1"/>
    <col min="20" max="20" width="25" style="385" customWidth="1"/>
    <col min="21" max="21" width="24.5703125" style="385" customWidth="1"/>
    <col min="22" max="22" width="8.5703125" style="382" customWidth="1"/>
    <col min="23" max="23" width="25" style="385" customWidth="1"/>
    <col min="24" max="24" width="23.7109375" style="385" customWidth="1"/>
    <col min="25" max="25" width="7.28515625" style="382" customWidth="1"/>
    <col min="26" max="26" width="22.7109375" style="385" customWidth="1"/>
    <col min="27" max="27" width="23.5703125" style="385" customWidth="1"/>
    <col min="28" max="28" width="7.28515625" style="382" customWidth="1"/>
    <col min="29" max="29" width="26.28515625" style="385" customWidth="1"/>
    <col min="30" max="30" width="24.7109375" style="385" customWidth="1"/>
    <col min="31" max="31" width="7.28515625" style="382" customWidth="1"/>
    <col min="32" max="32" width="27.85546875" style="385" customWidth="1"/>
    <col min="33" max="33" width="27.7109375" style="385" customWidth="1"/>
    <col min="34" max="34" width="28" style="385" customWidth="1"/>
    <col min="35" max="35" width="33" style="385" customWidth="1"/>
    <col min="36" max="36" width="24.42578125" style="385" customWidth="1"/>
    <col min="37" max="37" width="7.28515625" style="382" customWidth="1"/>
    <col min="38" max="38" width="36.7109375" style="385" customWidth="1"/>
    <col min="39" max="39" width="30" style="385" customWidth="1"/>
    <col min="40" max="40" width="7.28515625" style="382" customWidth="1"/>
    <col min="41" max="41" width="26.42578125" style="385" customWidth="1"/>
    <col min="42" max="42" width="25.7109375" style="385" customWidth="1"/>
    <col min="43" max="43" width="7.28515625" style="382" customWidth="1"/>
    <col min="44" max="44" width="27" style="385" customWidth="1"/>
    <col min="45" max="45" width="25.7109375" style="385" customWidth="1"/>
    <col min="46" max="46" width="7.28515625" style="382" customWidth="1"/>
    <col min="47" max="48" width="25.7109375" style="385" customWidth="1"/>
    <col min="49" max="49" width="7.28515625" style="382" customWidth="1"/>
    <col min="50" max="50" width="28.140625" style="385" customWidth="1"/>
    <col min="51" max="51" width="25.7109375" style="385" customWidth="1"/>
    <col min="52" max="52" width="7.28515625" style="382" customWidth="1"/>
    <col min="53" max="53" width="26.42578125" style="385" customWidth="1"/>
    <col min="54" max="54" width="25.7109375" style="385" customWidth="1"/>
    <col min="55" max="55" width="7.28515625" style="382" customWidth="1"/>
    <col min="56" max="56" width="29.5703125" style="385" customWidth="1"/>
    <col min="57" max="57" width="25.7109375" style="385" customWidth="1"/>
    <col min="58" max="58" width="7.28515625" style="382" customWidth="1"/>
    <col min="59" max="59" width="26.42578125" style="385" customWidth="1"/>
    <col min="60" max="60" width="25.7109375" style="385" customWidth="1"/>
    <col min="61" max="16384" width="11.42578125" style="385"/>
  </cols>
  <sheetData>
    <row r="1" spans="1:60" s="382" customFormat="1" x14ac:dyDescent="0.25">
      <c r="A1" s="379" t="s">
        <v>320</v>
      </c>
      <c r="B1" s="380"/>
      <c r="C1" s="381"/>
      <c r="D1" s="381"/>
      <c r="F1" s="383"/>
      <c r="G1" s="383"/>
      <c r="I1" s="383"/>
      <c r="J1" s="383"/>
      <c r="L1" s="383"/>
      <c r="M1" s="383"/>
      <c r="N1" s="383"/>
      <c r="O1" s="383"/>
      <c r="P1" s="383"/>
      <c r="Q1" s="383"/>
      <c r="R1" s="383"/>
      <c r="T1" s="383"/>
      <c r="U1" s="383"/>
      <c r="W1" s="383"/>
      <c r="X1" s="383"/>
      <c r="Z1" s="383"/>
      <c r="AA1" s="383"/>
      <c r="AC1" s="383"/>
      <c r="AD1" s="383"/>
      <c r="AF1" s="383"/>
      <c r="AG1" s="383"/>
      <c r="AH1" s="383"/>
      <c r="AI1" s="383"/>
      <c r="AJ1" s="383"/>
      <c r="AL1" s="383"/>
      <c r="AM1" s="383"/>
      <c r="AO1" s="383"/>
      <c r="AP1" s="383"/>
      <c r="AR1" s="383"/>
      <c r="AS1" s="383"/>
      <c r="AU1" s="383"/>
      <c r="AV1" s="383"/>
      <c r="AX1" s="383"/>
      <c r="AY1" s="383"/>
      <c r="BA1" s="383"/>
      <c r="BB1" s="383"/>
      <c r="BD1" s="383"/>
      <c r="BE1" s="383"/>
      <c r="BG1" s="383"/>
      <c r="BH1" s="383"/>
    </row>
    <row r="2" spans="1:60" s="382" customFormat="1" x14ac:dyDescent="0.25">
      <c r="A2" s="384"/>
    </row>
    <row r="3" spans="1:60" ht="41.25" customHeight="1" x14ac:dyDescent="0.25">
      <c r="A3" s="1017" t="s">
        <v>321</v>
      </c>
      <c r="B3" s="1018" t="s">
        <v>322</v>
      </c>
      <c r="C3" s="1018"/>
      <c r="D3" s="1018"/>
      <c r="E3" s="1018" t="s">
        <v>323</v>
      </c>
      <c r="F3" s="1018"/>
      <c r="G3" s="1018"/>
      <c r="H3" s="1014" t="s">
        <v>324</v>
      </c>
      <c r="I3" s="1014"/>
      <c r="J3" s="1014"/>
      <c r="K3" s="1014" t="s">
        <v>325</v>
      </c>
      <c r="L3" s="1014"/>
      <c r="M3" s="1014"/>
      <c r="N3" s="1014"/>
      <c r="O3" s="1014"/>
      <c r="P3" s="1014"/>
      <c r="Q3" s="1014"/>
      <c r="R3" s="1014"/>
      <c r="S3" s="1014" t="s">
        <v>326</v>
      </c>
      <c r="T3" s="1014"/>
      <c r="U3" s="1014"/>
      <c r="V3" s="1014" t="s">
        <v>327</v>
      </c>
      <c r="W3" s="1014"/>
      <c r="X3" s="1014"/>
      <c r="Y3" s="1014" t="s">
        <v>328</v>
      </c>
      <c r="Z3" s="1014"/>
      <c r="AA3" s="1014"/>
      <c r="AB3" s="1019" t="s">
        <v>329</v>
      </c>
      <c r="AC3" s="1019"/>
      <c r="AD3" s="1019"/>
      <c r="AE3" s="1019" t="s">
        <v>330</v>
      </c>
      <c r="AF3" s="1019"/>
      <c r="AG3" s="1019"/>
      <c r="AH3" s="1019"/>
      <c r="AI3" s="1019"/>
      <c r="AJ3" s="1019"/>
      <c r="AK3" s="1019" t="s">
        <v>331</v>
      </c>
      <c r="AL3" s="1019"/>
      <c r="AM3" s="1019"/>
      <c r="AN3" s="1014" t="s">
        <v>332</v>
      </c>
      <c r="AO3" s="1014"/>
      <c r="AP3" s="1014"/>
      <c r="AQ3" s="1014" t="s">
        <v>333</v>
      </c>
      <c r="AR3" s="1014"/>
      <c r="AS3" s="1014"/>
      <c r="AT3" s="1014" t="s">
        <v>334</v>
      </c>
      <c r="AU3" s="1014"/>
      <c r="AV3" s="1014"/>
      <c r="AW3" s="1014" t="s">
        <v>335</v>
      </c>
      <c r="AX3" s="1014"/>
      <c r="AY3" s="1014"/>
      <c r="AZ3" s="1014" t="s">
        <v>336</v>
      </c>
      <c r="BA3" s="1014"/>
      <c r="BB3" s="1014"/>
      <c r="BC3" s="1014" t="s">
        <v>337</v>
      </c>
      <c r="BD3" s="1014"/>
      <c r="BE3" s="1014"/>
      <c r="BF3" s="1014" t="s">
        <v>338</v>
      </c>
      <c r="BG3" s="1014"/>
      <c r="BH3" s="1014"/>
    </row>
    <row r="4" spans="1:60" ht="30.75" customHeight="1" x14ac:dyDescent="0.25">
      <c r="A4" s="1017"/>
      <c r="B4" s="1015" t="s">
        <v>339</v>
      </c>
      <c r="C4" s="386" t="s">
        <v>4</v>
      </c>
      <c r="D4" s="386" t="s">
        <v>5</v>
      </c>
      <c r="E4" s="1016" t="s">
        <v>340</v>
      </c>
      <c r="F4" s="386" t="s">
        <v>4</v>
      </c>
      <c r="G4" s="386" t="s">
        <v>5</v>
      </c>
      <c r="H4" s="1015" t="s">
        <v>339</v>
      </c>
      <c r="I4" s="386" t="s">
        <v>4</v>
      </c>
      <c r="J4" s="386" t="s">
        <v>5</v>
      </c>
      <c r="K4" s="1016" t="s">
        <v>340</v>
      </c>
      <c r="L4" s="386" t="s">
        <v>4</v>
      </c>
      <c r="M4" s="387" t="s">
        <v>341</v>
      </c>
      <c r="N4" s="386" t="s">
        <v>68</v>
      </c>
      <c r="O4" s="386" t="s">
        <v>69</v>
      </c>
      <c r="P4" s="386" t="s">
        <v>70</v>
      </c>
      <c r="Q4" s="386" t="s">
        <v>71</v>
      </c>
      <c r="R4" s="386" t="s">
        <v>72</v>
      </c>
      <c r="S4" s="1016" t="s">
        <v>340</v>
      </c>
      <c r="T4" s="386" t="s">
        <v>4</v>
      </c>
      <c r="U4" s="386" t="s">
        <v>5</v>
      </c>
      <c r="V4" s="1016" t="s">
        <v>340</v>
      </c>
      <c r="W4" s="386" t="s">
        <v>4</v>
      </c>
      <c r="X4" s="386" t="s">
        <v>5</v>
      </c>
      <c r="Y4" s="1016" t="s">
        <v>340</v>
      </c>
      <c r="Z4" s="386" t="s">
        <v>4</v>
      </c>
      <c r="AA4" s="386" t="s">
        <v>5</v>
      </c>
      <c r="AB4" s="1020" t="s">
        <v>340</v>
      </c>
      <c r="AC4" s="386" t="s">
        <v>4</v>
      </c>
      <c r="AD4" s="386" t="s">
        <v>5</v>
      </c>
      <c r="AE4" s="1020" t="s">
        <v>340</v>
      </c>
      <c r="AF4" s="387" t="s">
        <v>342</v>
      </c>
      <c r="AG4" s="386" t="s">
        <v>76</v>
      </c>
      <c r="AH4" s="386" t="s">
        <v>77</v>
      </c>
      <c r="AI4" s="386" t="s">
        <v>78</v>
      </c>
      <c r="AJ4" s="386" t="s">
        <v>5</v>
      </c>
      <c r="AK4" s="1020" t="s">
        <v>339</v>
      </c>
      <c r="AL4" s="386" t="s">
        <v>4</v>
      </c>
      <c r="AM4" s="386" t="s">
        <v>5</v>
      </c>
      <c r="AN4" s="1016" t="s">
        <v>340</v>
      </c>
      <c r="AO4" s="386" t="s">
        <v>4</v>
      </c>
      <c r="AP4" s="386" t="s">
        <v>5</v>
      </c>
      <c r="AQ4" s="1016" t="s">
        <v>340</v>
      </c>
      <c r="AR4" s="386" t="s">
        <v>4</v>
      </c>
      <c r="AS4" s="386" t="s">
        <v>5</v>
      </c>
      <c r="AT4" s="1016" t="s">
        <v>340</v>
      </c>
      <c r="AU4" s="386" t="s">
        <v>4</v>
      </c>
      <c r="AV4" s="386" t="s">
        <v>5</v>
      </c>
      <c r="AW4" s="1016" t="s">
        <v>340</v>
      </c>
      <c r="AX4" s="386" t="s">
        <v>4</v>
      </c>
      <c r="AY4" s="386" t="s">
        <v>5</v>
      </c>
      <c r="AZ4" s="1016" t="s">
        <v>340</v>
      </c>
      <c r="BA4" s="386" t="s">
        <v>4</v>
      </c>
      <c r="BB4" s="386" t="s">
        <v>5</v>
      </c>
      <c r="BC4" s="1016" t="s">
        <v>340</v>
      </c>
      <c r="BD4" s="386" t="s">
        <v>4</v>
      </c>
      <c r="BE4" s="386" t="s">
        <v>5</v>
      </c>
      <c r="BF4" s="1016" t="s">
        <v>340</v>
      </c>
      <c r="BG4" s="386" t="s">
        <v>4</v>
      </c>
      <c r="BH4" s="386" t="s">
        <v>5</v>
      </c>
    </row>
    <row r="5" spans="1:60" ht="82.5" customHeight="1" x14ac:dyDescent="0.25">
      <c r="A5" s="1017"/>
      <c r="B5" s="1015"/>
      <c r="C5" s="387" t="s">
        <v>41</v>
      </c>
      <c r="D5" s="387" t="s">
        <v>42</v>
      </c>
      <c r="E5" s="1016"/>
      <c r="F5" s="387" t="s">
        <v>343</v>
      </c>
      <c r="G5" s="387" t="s">
        <v>344</v>
      </c>
      <c r="H5" s="1015"/>
      <c r="I5" s="387" t="s">
        <v>345</v>
      </c>
      <c r="J5" s="387" t="s">
        <v>346</v>
      </c>
      <c r="K5" s="1016"/>
      <c r="L5" s="388" t="s">
        <v>347</v>
      </c>
      <c r="M5" s="387" t="s">
        <v>348</v>
      </c>
      <c r="N5" s="387" t="s">
        <v>349</v>
      </c>
      <c r="O5" s="387" t="s">
        <v>350</v>
      </c>
      <c r="P5" s="387" t="s">
        <v>351</v>
      </c>
      <c r="Q5" s="387" t="s">
        <v>219</v>
      </c>
      <c r="R5" s="387" t="s">
        <v>90</v>
      </c>
      <c r="S5" s="1016"/>
      <c r="T5" s="387" t="s">
        <v>352</v>
      </c>
      <c r="U5" s="387" t="s">
        <v>353</v>
      </c>
      <c r="V5" s="1016"/>
      <c r="W5" s="387" t="s">
        <v>354</v>
      </c>
      <c r="X5" s="387" t="s">
        <v>355</v>
      </c>
      <c r="Y5" s="1016"/>
      <c r="Z5" s="387" t="s">
        <v>356</v>
      </c>
      <c r="AA5" s="387" t="s">
        <v>357</v>
      </c>
      <c r="AB5" s="1020"/>
      <c r="AC5" s="387" t="s">
        <v>358</v>
      </c>
      <c r="AD5" s="387" t="s">
        <v>359</v>
      </c>
      <c r="AE5" s="1020"/>
      <c r="AF5" s="387" t="s">
        <v>360</v>
      </c>
      <c r="AG5" s="387" t="s">
        <v>361</v>
      </c>
      <c r="AH5" s="387" t="s">
        <v>362</v>
      </c>
      <c r="AI5" s="387" t="s">
        <v>363</v>
      </c>
      <c r="AJ5" s="387" t="s">
        <v>364</v>
      </c>
      <c r="AK5" s="1020"/>
      <c r="AL5" s="387" t="s">
        <v>365</v>
      </c>
      <c r="AM5" s="387" t="s">
        <v>366</v>
      </c>
      <c r="AN5" s="1016"/>
      <c r="AO5" s="387" t="s">
        <v>367</v>
      </c>
      <c r="AP5" s="387" t="s">
        <v>368</v>
      </c>
      <c r="AQ5" s="1016"/>
      <c r="AR5" s="387" t="s">
        <v>369</v>
      </c>
      <c r="AS5" s="387" t="s">
        <v>127</v>
      </c>
      <c r="AT5" s="1016"/>
      <c r="AU5" s="387" t="s">
        <v>370</v>
      </c>
      <c r="AV5" s="387" t="s">
        <v>129</v>
      </c>
      <c r="AW5" s="1016"/>
      <c r="AX5" s="387" t="s">
        <v>371</v>
      </c>
      <c r="AY5" s="387" t="s">
        <v>372</v>
      </c>
      <c r="AZ5" s="1016"/>
      <c r="BA5" s="387" t="s">
        <v>373</v>
      </c>
      <c r="BB5" s="387" t="s">
        <v>374</v>
      </c>
      <c r="BC5" s="1016"/>
      <c r="BD5" s="387" t="s">
        <v>375</v>
      </c>
      <c r="BE5" s="387" t="s">
        <v>376</v>
      </c>
      <c r="BF5" s="1016"/>
      <c r="BG5" s="387" t="s">
        <v>377</v>
      </c>
      <c r="BH5" s="387" t="s">
        <v>378</v>
      </c>
    </row>
    <row r="6" spans="1:60" ht="341.25" customHeight="1" x14ac:dyDescent="0.25">
      <c r="A6" s="389" t="s">
        <v>379</v>
      </c>
      <c r="B6" s="390" t="s">
        <v>380</v>
      </c>
      <c r="C6" s="391" t="s">
        <v>381</v>
      </c>
      <c r="D6" s="392" t="s">
        <v>382</v>
      </c>
      <c r="E6" s="390" t="s">
        <v>380</v>
      </c>
      <c r="F6" s="393" t="s">
        <v>383</v>
      </c>
      <c r="G6" s="391" t="s">
        <v>381</v>
      </c>
      <c r="H6" s="390" t="s">
        <v>380</v>
      </c>
      <c r="I6" s="394" t="s">
        <v>384</v>
      </c>
      <c r="J6" s="395" t="s">
        <v>385</v>
      </c>
      <c r="K6" s="390" t="s">
        <v>380</v>
      </c>
      <c r="L6" s="395" t="s">
        <v>386</v>
      </c>
      <c r="M6" s="396" t="s">
        <v>387</v>
      </c>
      <c r="N6" s="397" t="s">
        <v>388</v>
      </c>
      <c r="O6" s="398" t="s">
        <v>389</v>
      </c>
      <c r="P6" s="398" t="s">
        <v>390</v>
      </c>
      <c r="Q6" s="399" t="s">
        <v>391</v>
      </c>
      <c r="R6" s="400" t="s">
        <v>392</v>
      </c>
      <c r="S6" s="390" t="s">
        <v>380</v>
      </c>
      <c r="T6" s="401" t="s">
        <v>393</v>
      </c>
      <c r="U6" s="395" t="s">
        <v>394</v>
      </c>
      <c r="V6" s="390" t="s">
        <v>380</v>
      </c>
      <c r="W6" s="402" t="s">
        <v>395</v>
      </c>
      <c r="X6" s="395" t="s">
        <v>396</v>
      </c>
      <c r="Y6" s="390" t="s">
        <v>380</v>
      </c>
      <c r="Z6" s="403" t="s">
        <v>397</v>
      </c>
      <c r="AA6" s="395" t="s">
        <v>398</v>
      </c>
      <c r="AB6" s="390" t="s">
        <v>380</v>
      </c>
      <c r="AC6" s="402" t="s">
        <v>399</v>
      </c>
      <c r="AD6" s="400" t="s">
        <v>400</v>
      </c>
      <c r="AE6" s="390" t="s">
        <v>380</v>
      </c>
      <c r="AF6" s="404" t="s">
        <v>401</v>
      </c>
      <c r="AG6" s="405" t="s">
        <v>402</v>
      </c>
      <c r="AH6" s="406" t="s">
        <v>403</v>
      </c>
      <c r="AI6" s="406" t="s">
        <v>404</v>
      </c>
      <c r="AJ6" s="407" t="s">
        <v>405</v>
      </c>
      <c r="AK6" s="390" t="s">
        <v>380</v>
      </c>
      <c r="AL6" s="408" t="s">
        <v>406</v>
      </c>
      <c r="AM6" s="404" t="s">
        <v>401</v>
      </c>
      <c r="AN6" s="390" t="s">
        <v>380</v>
      </c>
      <c r="AO6" s="409" t="s">
        <v>407</v>
      </c>
      <c r="AP6" s="409" t="s">
        <v>407</v>
      </c>
      <c r="AQ6" s="390" t="s">
        <v>380</v>
      </c>
      <c r="AR6" s="402" t="s">
        <v>408</v>
      </c>
      <c r="AS6" s="402" t="s">
        <v>409</v>
      </c>
      <c r="AT6" s="390" t="s">
        <v>380</v>
      </c>
      <c r="AU6" s="402" t="s">
        <v>410</v>
      </c>
      <c r="AV6" s="395" t="s">
        <v>411</v>
      </c>
      <c r="AW6" s="390" t="s">
        <v>380</v>
      </c>
      <c r="AX6" s="409" t="s">
        <v>407</v>
      </c>
      <c r="AY6" s="398" t="s">
        <v>412</v>
      </c>
      <c r="AZ6" s="390" t="s">
        <v>380</v>
      </c>
      <c r="BA6" s="409" t="s">
        <v>413</v>
      </c>
      <c r="BB6" s="400" t="s">
        <v>414</v>
      </c>
      <c r="BC6" s="390" t="s">
        <v>380</v>
      </c>
      <c r="BD6" s="395" t="s">
        <v>415</v>
      </c>
      <c r="BE6" s="400" t="s">
        <v>416</v>
      </c>
      <c r="BF6" s="390" t="s">
        <v>380</v>
      </c>
      <c r="BG6" s="409" t="s">
        <v>407</v>
      </c>
      <c r="BH6" s="400" t="s">
        <v>414</v>
      </c>
    </row>
    <row r="7" spans="1:60" ht="22.5" customHeight="1" x14ac:dyDescent="0.25">
      <c r="A7" s="410"/>
      <c r="B7" s="411"/>
      <c r="C7" s="412"/>
      <c r="D7" s="412"/>
      <c r="E7" s="411"/>
      <c r="F7" s="412"/>
      <c r="G7" s="412"/>
      <c r="H7" s="411"/>
      <c r="I7" s="412"/>
      <c r="J7" s="412"/>
      <c r="K7" s="411"/>
      <c r="L7" s="412"/>
      <c r="M7" s="412"/>
      <c r="N7" s="413"/>
      <c r="O7" s="413"/>
      <c r="P7" s="413"/>
      <c r="Q7" s="413"/>
      <c r="R7" s="412"/>
      <c r="S7" s="411"/>
      <c r="T7" s="412"/>
      <c r="U7" s="412"/>
      <c r="V7" s="411"/>
      <c r="W7" s="412"/>
      <c r="X7" s="412"/>
      <c r="Y7" s="411"/>
      <c r="Z7" s="412"/>
      <c r="AA7" s="412"/>
      <c r="AB7" s="411"/>
      <c r="AC7" s="412"/>
      <c r="AD7" s="413"/>
      <c r="AE7" s="411"/>
      <c r="AF7" s="412"/>
      <c r="AG7" s="412"/>
      <c r="AH7" s="412"/>
      <c r="AI7" s="412"/>
      <c r="AJ7" s="412"/>
      <c r="AK7" s="411"/>
      <c r="AL7" s="412"/>
      <c r="AM7" s="412"/>
      <c r="AN7" s="411"/>
      <c r="AO7" s="412"/>
      <c r="AP7" s="412"/>
      <c r="AQ7" s="411"/>
      <c r="AR7" s="412"/>
      <c r="AS7" s="412"/>
      <c r="AT7" s="411"/>
      <c r="AU7" s="412"/>
      <c r="AV7" s="412"/>
      <c r="AW7" s="411"/>
      <c r="AX7" s="412"/>
      <c r="AY7" s="412"/>
      <c r="AZ7" s="411"/>
      <c r="BA7" s="412"/>
      <c r="BB7" s="412"/>
      <c r="BC7" s="411"/>
      <c r="BD7" s="412"/>
      <c r="BE7" s="412"/>
      <c r="BF7" s="411"/>
      <c r="BG7" s="412"/>
      <c r="BH7" s="412"/>
    </row>
    <row r="8" spans="1:60" s="382" customFormat="1" ht="16.5" x14ac:dyDescent="0.3">
      <c r="A8" s="414" t="s">
        <v>417</v>
      </c>
      <c r="F8" s="412"/>
    </row>
    <row r="9" spans="1:60" s="382" customFormat="1" x14ac:dyDescent="0.25">
      <c r="A9" s="415" t="s">
        <v>418</v>
      </c>
      <c r="F9" s="412"/>
    </row>
    <row r="10" spans="1:60" s="382" customFormat="1" x14ac:dyDescent="0.25">
      <c r="A10" s="416" t="s">
        <v>419</v>
      </c>
      <c r="F10" s="412"/>
    </row>
    <row r="11" spans="1:60" s="382" customFormat="1" x14ac:dyDescent="0.25">
      <c r="A11" s="415" t="s">
        <v>420</v>
      </c>
      <c r="F11" s="412"/>
    </row>
    <row r="12" spans="1:60" s="382" customFormat="1" x14ac:dyDescent="0.25">
      <c r="A12" s="414" t="s">
        <v>421</v>
      </c>
      <c r="F12" s="412"/>
    </row>
    <row r="13" spans="1:60" s="382" customFormat="1" x14ac:dyDescent="0.25">
      <c r="A13" s="414" t="s">
        <v>422</v>
      </c>
      <c r="F13" s="412"/>
    </row>
    <row r="14" spans="1:60" s="382" customFormat="1" x14ac:dyDescent="0.25">
      <c r="A14" s="417"/>
      <c r="F14" s="412"/>
    </row>
    <row r="15" spans="1:60" s="382" customFormat="1" ht="11.25" customHeight="1" x14ac:dyDescent="0.25">
      <c r="A15" s="418"/>
      <c r="F15" s="412"/>
    </row>
    <row r="16" spans="1:60" s="382" customFormat="1" x14ac:dyDescent="0.25">
      <c r="A16" s="418"/>
      <c r="F16" s="412"/>
    </row>
    <row r="17" spans="1:6" s="382" customFormat="1" x14ac:dyDescent="0.25">
      <c r="A17" s="419"/>
      <c r="F17" s="412"/>
    </row>
    <row r="18" spans="1:6" s="382" customFormat="1" x14ac:dyDescent="0.25">
      <c r="A18" s="418"/>
      <c r="F18" s="412"/>
    </row>
    <row r="19" spans="1:6" s="382" customFormat="1" x14ac:dyDescent="0.25">
      <c r="A19" s="418"/>
      <c r="F19" s="412"/>
    </row>
    <row r="20" spans="1:6" s="382" customFormat="1" x14ac:dyDescent="0.25">
      <c r="A20" s="418"/>
      <c r="F20" s="412"/>
    </row>
    <row r="21" spans="1:6" s="382" customFormat="1" x14ac:dyDescent="0.25">
      <c r="A21" s="420"/>
      <c r="F21" s="412"/>
    </row>
    <row r="22" spans="1:6" s="382" customFormat="1" x14ac:dyDescent="0.25">
      <c r="A22" s="417"/>
      <c r="F22" s="412"/>
    </row>
    <row r="23" spans="1:6" s="382" customFormat="1" x14ac:dyDescent="0.25">
      <c r="A23" s="418"/>
      <c r="F23" s="412"/>
    </row>
    <row r="24" spans="1:6" s="382" customFormat="1" x14ac:dyDescent="0.25">
      <c r="F24" s="412"/>
    </row>
    <row r="25" spans="1:6" s="382" customFormat="1" x14ac:dyDescent="0.25">
      <c r="A25" s="421"/>
      <c r="F25" s="412"/>
    </row>
    <row r="26" spans="1:6" s="382" customFormat="1" x14ac:dyDescent="0.25">
      <c r="F26" s="412"/>
    </row>
    <row r="27" spans="1:6" s="382" customFormat="1" x14ac:dyDescent="0.25">
      <c r="F27" s="412"/>
    </row>
    <row r="28" spans="1:6" s="382" customFormat="1" x14ac:dyDescent="0.25">
      <c r="F28" s="412"/>
    </row>
    <row r="29" spans="1:6" s="382" customFormat="1" x14ac:dyDescent="0.25"/>
    <row r="30" spans="1:6" s="382" customFormat="1" x14ac:dyDescent="0.25"/>
    <row r="31" spans="1:6" s="382" customFormat="1" x14ac:dyDescent="0.25"/>
    <row r="32" spans="1:6" s="382" customFormat="1" x14ac:dyDescent="0.25"/>
    <row r="33" s="382" customFormat="1" x14ac:dyDescent="0.25"/>
    <row r="34" s="382" customFormat="1" x14ac:dyDescent="0.25"/>
    <row r="35" s="382" customFormat="1" x14ac:dyDescent="0.25"/>
    <row r="36" s="382" customFormat="1" x14ac:dyDescent="0.25"/>
    <row r="37" s="382" customFormat="1" x14ac:dyDescent="0.25"/>
    <row r="38" s="382" customFormat="1" x14ac:dyDescent="0.25"/>
    <row r="39" s="382" customFormat="1" x14ac:dyDescent="0.25"/>
    <row r="40" s="382" customFormat="1" x14ac:dyDescent="0.25"/>
    <row r="41" s="382" customFormat="1" x14ac:dyDescent="0.25"/>
    <row r="42" s="382" customFormat="1" x14ac:dyDescent="0.25"/>
    <row r="43" s="382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</row>
    <row r="2" spans="1:18" s="2" customFormat="1" ht="28.5" x14ac:dyDescent="0.45">
      <c r="E2" s="3"/>
      <c r="F2" s="3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</row>
    <row r="3" spans="1:18" ht="3" customHeight="1" thickBot="1" x14ac:dyDescent="0.3"/>
    <row r="4" spans="1:18" ht="15" customHeight="1" x14ac:dyDescent="0.25">
      <c r="H4" s="864" t="s">
        <v>3</v>
      </c>
      <c r="I4" s="865"/>
      <c r="J4" s="865"/>
      <c r="K4" s="865"/>
      <c r="L4" s="865"/>
      <c r="M4" s="865"/>
      <c r="N4" s="866"/>
    </row>
    <row r="5" spans="1:18" ht="39.75" customHeight="1" thickBot="1" x14ac:dyDescent="0.3">
      <c r="H5" s="867"/>
      <c r="I5" s="868"/>
      <c r="J5" s="868"/>
      <c r="K5" s="868"/>
      <c r="L5" s="868"/>
      <c r="M5" s="868"/>
      <c r="N5" s="869"/>
    </row>
    <row r="6" spans="1:18" ht="16.5" customHeight="1" thickBot="1" x14ac:dyDescent="0.3">
      <c r="H6" s="7" t="s">
        <v>4</v>
      </c>
      <c r="I6" s="8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871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</row>
    <row r="2" spans="1:18" s="2" customFormat="1" ht="28.5" x14ac:dyDescent="0.45">
      <c r="E2" s="3"/>
      <c r="F2" s="3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</row>
    <row r="3" spans="1:18" ht="3" customHeight="1" thickBot="1" x14ac:dyDescent="0.3"/>
    <row r="4" spans="1:18" ht="15" customHeight="1" x14ac:dyDescent="0.25">
      <c r="H4" s="864" t="s">
        <v>38</v>
      </c>
      <c r="I4" s="865"/>
      <c r="J4" s="865"/>
      <c r="K4" s="865"/>
      <c r="L4" s="865"/>
      <c r="M4" s="865"/>
      <c r="N4" s="866"/>
    </row>
    <row r="5" spans="1:18" ht="15.75" thickBot="1" x14ac:dyDescent="0.3">
      <c r="H5" s="867"/>
      <c r="I5" s="868"/>
      <c r="J5" s="868"/>
      <c r="K5" s="868"/>
      <c r="L5" s="868"/>
      <c r="M5" s="868"/>
      <c r="N5" s="869"/>
    </row>
    <row r="6" spans="1:18" ht="16.5" customHeight="1" thickBot="1" x14ac:dyDescent="0.3">
      <c r="H6" s="7" t="s">
        <v>4</v>
      </c>
      <c r="I6" s="8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871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zoomScale="60" zoomScaleNormal="60" workbookViewId="0">
      <selection activeCell="N9" sqref="N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9.8554687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K1" s="3"/>
      <c r="AL1" s="3"/>
    </row>
    <row r="2" spans="1:38" s="2" customFormat="1" ht="28.5" x14ac:dyDescent="0.45">
      <c r="E2" s="3"/>
      <c r="F2" s="3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426" t="s">
        <v>46</v>
      </c>
      <c r="AB2" s="745">
        <v>7</v>
      </c>
      <c r="AF2" s="56"/>
      <c r="AK2" s="3"/>
      <c r="AL2" s="3"/>
    </row>
    <row r="3" spans="1:38" ht="27.75" customHeight="1" thickBot="1" x14ac:dyDescent="0.3">
      <c r="AE3" s="727"/>
    </row>
    <row r="4" spans="1:38" ht="15" customHeight="1" x14ac:dyDescent="0.25">
      <c r="G4" s="58"/>
      <c r="H4" s="879" t="s">
        <v>512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6"/>
      <c r="AA4" s="5"/>
      <c r="AB4" s="5"/>
      <c r="AD4" s="6"/>
      <c r="AF4" s="5"/>
      <c r="AG4" s="426" t="s">
        <v>45</v>
      </c>
      <c r="AH4" s="89">
        <v>12</v>
      </c>
      <c r="AI4" s="6"/>
      <c r="AJ4" s="6"/>
      <c r="AK4" s="5"/>
    </row>
    <row r="5" spans="1:38" ht="32.25" customHeight="1" thickBot="1" x14ac:dyDescent="0.3">
      <c r="G5" s="58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1"/>
      <c r="AA5" s="5"/>
      <c r="AB5" s="5"/>
      <c r="AD5" s="6"/>
      <c r="AF5" s="5"/>
      <c r="AG5" s="426" t="s">
        <v>46</v>
      </c>
      <c r="AH5" s="89">
        <f>AB2</f>
        <v>7</v>
      </c>
      <c r="AI5" s="6"/>
      <c r="AK5" s="5"/>
    </row>
    <row r="6" spans="1:38" ht="84.75" customHeight="1" thickBot="1" x14ac:dyDescent="0.3">
      <c r="G6" s="59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61" t="s">
        <v>5</v>
      </c>
      <c r="V6" s="882" t="s">
        <v>6</v>
      </c>
      <c r="W6" s="884">
        <f>+NOMBRE!$B$9</f>
        <v>2024</v>
      </c>
      <c r="X6" s="885"/>
      <c r="Y6" s="886" t="s">
        <v>7</v>
      </c>
      <c r="Z6" s="887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75.75" customHeight="1" thickBot="1" x14ac:dyDescent="0.3">
      <c r="G7" s="606" t="s">
        <v>431</v>
      </c>
      <c r="H7" s="876" t="s">
        <v>456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8"/>
      <c r="T7" s="891" t="s">
        <v>201</v>
      </c>
      <c r="U7" s="11" t="s">
        <v>42</v>
      </c>
      <c r="V7" s="883"/>
      <c r="W7" s="12" t="s">
        <v>11</v>
      </c>
      <c r="X7" s="12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4" t="s">
        <v>189</v>
      </c>
      <c r="I8" s="465" t="s">
        <v>190</v>
      </c>
      <c r="J8" s="465" t="s">
        <v>191</v>
      </c>
      <c r="K8" s="465" t="s">
        <v>192</v>
      </c>
      <c r="L8" s="465" t="s">
        <v>193</v>
      </c>
      <c r="M8" s="465" t="s">
        <v>194</v>
      </c>
      <c r="N8" s="465" t="s">
        <v>195</v>
      </c>
      <c r="O8" s="465" t="s">
        <v>196</v>
      </c>
      <c r="P8" s="465" t="s">
        <v>423</v>
      </c>
      <c r="Q8" s="465" t="s">
        <v>198</v>
      </c>
      <c r="R8" s="465" t="s">
        <v>199</v>
      </c>
      <c r="S8" s="466" t="s">
        <v>200</v>
      </c>
      <c r="T8" s="892"/>
      <c r="U8" s="539"/>
      <c r="V8" s="87"/>
      <c r="W8" s="676">
        <f>indicadores!E16</f>
        <v>1.08</v>
      </c>
      <c r="X8" s="483">
        <f>indicadores!$D$54</f>
        <v>0.5</v>
      </c>
      <c r="Y8" s="511"/>
      <c r="Z8" s="511"/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38" ht="17.25" x14ac:dyDescent="0.3">
      <c r="A9"/>
      <c r="B9"/>
      <c r="C9" s="64"/>
      <c r="D9" s="65"/>
      <c r="E9" s="66"/>
      <c r="F9" s="431">
        <v>107307</v>
      </c>
      <c r="G9" s="19" t="s">
        <v>432</v>
      </c>
      <c r="H9" s="463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0</v>
      </c>
      <c r="P9" s="74">
        <f>+REMB!DG6</f>
        <v>0</v>
      </c>
      <c r="Q9" s="74">
        <f>+REMB!DH6</f>
        <v>0</v>
      </c>
      <c r="R9" s="74">
        <f>+REMB!DI6</f>
        <v>0</v>
      </c>
      <c r="S9" s="74">
        <f>+REMB!DJ6</f>
        <v>0</v>
      </c>
      <c r="T9" s="424">
        <f>SUM(H9:S9)</f>
        <v>17794</v>
      </c>
      <c r="U9" s="80">
        <f>Poblacion2024!E6</f>
        <v>37740.906000000003</v>
      </c>
      <c r="V9" s="589">
        <f>+T9/U9</f>
        <v>0.47147781772912389</v>
      </c>
      <c r="W9" s="590">
        <f>$W$8</f>
        <v>1.08</v>
      </c>
      <c r="X9" s="76">
        <f>+W9*$X$8</f>
        <v>0.54</v>
      </c>
      <c r="Y9" s="77">
        <f>IF(+V9/X9&gt;=1,1,+V9/X9)</f>
        <v>0.87310706986874786</v>
      </c>
      <c r="Z9" s="77">
        <f t="shared" ref="Z9:Z16" si="0">+Y9*6.25/100</f>
        <v>5.4569191866796742E-2</v>
      </c>
      <c r="AA9" s="95">
        <f>W9</f>
        <v>1.08</v>
      </c>
      <c r="AB9" s="95">
        <f>(AF9/AD9)</f>
        <v>0.47147781772912389</v>
      </c>
      <c r="AC9" s="427">
        <f>AB9/AA9</f>
        <v>0.43655353493437393</v>
      </c>
      <c r="AD9" s="97">
        <f>U9</f>
        <v>37740.906000000003</v>
      </c>
      <c r="AE9" s="98">
        <f>AD9*AA9</f>
        <v>40760.178480000002</v>
      </c>
      <c r="AF9" s="97">
        <f>T9</f>
        <v>17794</v>
      </c>
      <c r="AG9" s="98">
        <f>AE9/$AH$4</f>
        <v>3396.68154</v>
      </c>
      <c r="AH9" s="98">
        <f>AG9*$AH$5</f>
        <v>23776.770779999999</v>
      </c>
      <c r="AI9" s="98">
        <f>T9</f>
        <v>17794</v>
      </c>
      <c r="AJ9" s="428">
        <f>AI9/AH9</f>
        <v>0.74837748845892693</v>
      </c>
      <c r="AK9" s="429">
        <f>(AH9-AI9)*-1</f>
        <v>-5982.7707799999989</v>
      </c>
    </row>
    <row r="10" spans="1:38" ht="17.25" x14ac:dyDescent="0.3">
      <c r="A10"/>
      <c r="B10"/>
      <c r="C10" s="64"/>
      <c r="D10" s="65"/>
      <c r="E10" s="66"/>
      <c r="F10" s="432">
        <v>107308</v>
      </c>
      <c r="G10" s="19" t="s">
        <v>433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0</v>
      </c>
      <c r="P10" s="74">
        <f>+REMB!DG7</f>
        <v>0</v>
      </c>
      <c r="Q10" s="74">
        <f>+REMB!DH7</f>
        <v>0</v>
      </c>
      <c r="R10" s="74">
        <f>+REMB!DI7</f>
        <v>0</v>
      </c>
      <c r="S10" s="74">
        <f>+REMB!DJ7</f>
        <v>0</v>
      </c>
      <c r="T10" s="423">
        <f t="shared" ref="T10:T15" si="1">SUM(H10:S10)</f>
        <v>12135</v>
      </c>
      <c r="U10" s="74">
        <f>Poblacion2024!E7</f>
        <v>23185</v>
      </c>
      <c r="V10" s="75">
        <f t="shared" ref="V10:V15" si="2">+T10/U10</f>
        <v>0.52339874919128748</v>
      </c>
      <c r="W10" s="590">
        <f t="shared" ref="W10:W16" si="3">$W$8</f>
        <v>1.08</v>
      </c>
      <c r="X10" s="76">
        <f t="shared" ref="X10:X16" si="4">+W10*$X$8</f>
        <v>0.54</v>
      </c>
      <c r="Y10" s="77">
        <f>IF(+V10/X10&gt;=1,1,+V10/X10)</f>
        <v>0.96925694294682863</v>
      </c>
      <c r="Z10" s="77">
        <f t="shared" si="0"/>
        <v>6.0578558934176782E-2</v>
      </c>
      <c r="AA10" s="95">
        <f t="shared" ref="AA10:AA16" si="5">W10</f>
        <v>1.08</v>
      </c>
      <c r="AB10" s="95">
        <f t="shared" ref="AB10:AB16" si="6">(AF10/AD10)</f>
        <v>0.52339874919128748</v>
      </c>
      <c r="AC10" s="427">
        <f t="shared" ref="AC10:AC16" si="7">AB10/AA10</f>
        <v>0.48462847147341431</v>
      </c>
      <c r="AD10" s="97">
        <f t="shared" ref="AD10:AD16" si="8">U10</f>
        <v>23185</v>
      </c>
      <c r="AE10" s="98">
        <f t="shared" ref="AE10:AE16" si="9">AD10*AA10</f>
        <v>25039.800000000003</v>
      </c>
      <c r="AF10" s="97">
        <f t="shared" ref="AF10:AF16" si="10">T10</f>
        <v>12135</v>
      </c>
      <c r="AG10" s="98">
        <f t="shared" ref="AG10:AG16" si="11">AE10/$AH$4</f>
        <v>2086.65</v>
      </c>
      <c r="AH10" s="98">
        <f t="shared" ref="AH10:AH16" si="12">AG10*$AH$5</f>
        <v>14606.550000000001</v>
      </c>
      <c r="AI10" s="98">
        <f t="shared" ref="AI10:AI16" si="13">T10</f>
        <v>12135</v>
      </c>
      <c r="AJ10" s="428">
        <f t="shared" ref="AJ10:AJ16" si="14">AI10/AH10</f>
        <v>0.83079166538299587</v>
      </c>
      <c r="AK10" s="429">
        <f t="shared" ref="AK10:AK16" si="15">(AH10-AI10)*-1</f>
        <v>-2471.5500000000011</v>
      </c>
    </row>
    <row r="11" spans="1:38" ht="17.25" x14ac:dyDescent="0.3">
      <c r="A11"/>
      <c r="B11"/>
      <c r="C11" s="64"/>
      <c r="D11" s="65"/>
      <c r="E11" s="66"/>
      <c r="F11" s="432">
        <v>107353</v>
      </c>
      <c r="G11" s="19" t="s">
        <v>434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0</v>
      </c>
      <c r="P11" s="74">
        <f>+REMB!DG8</f>
        <v>0</v>
      </c>
      <c r="Q11" s="74">
        <f>+REMB!DH8</f>
        <v>0</v>
      </c>
      <c r="R11" s="74">
        <f>+REMB!DI8</f>
        <v>0</v>
      </c>
      <c r="S11" s="74">
        <f>+REMB!DJ8</f>
        <v>0</v>
      </c>
      <c r="T11" s="423">
        <f t="shared" si="1"/>
        <v>12296</v>
      </c>
      <c r="U11" s="74">
        <f>Poblacion2024!E8</f>
        <v>18288</v>
      </c>
      <c r="V11" s="75">
        <f t="shared" si="2"/>
        <v>0.67235345581802275</v>
      </c>
      <c r="W11" s="590">
        <f t="shared" si="3"/>
        <v>1.08</v>
      </c>
      <c r="X11" s="76">
        <f t="shared" si="4"/>
        <v>0.54</v>
      </c>
      <c r="Y11" s="77">
        <f t="shared" ref="Y11:Y16" si="16">IF(+V11/X11&gt;=1,1,+V11/X11)</f>
        <v>1</v>
      </c>
      <c r="Z11" s="77">
        <f t="shared" si="0"/>
        <v>6.25E-2</v>
      </c>
      <c r="AA11" s="95">
        <f t="shared" si="5"/>
        <v>1.08</v>
      </c>
      <c r="AB11" s="95">
        <f t="shared" si="6"/>
        <v>0.67235345581802275</v>
      </c>
      <c r="AC11" s="427">
        <f t="shared" si="7"/>
        <v>0.62254949612779875</v>
      </c>
      <c r="AD11" s="97">
        <f t="shared" si="8"/>
        <v>18288</v>
      </c>
      <c r="AE11" s="98">
        <f t="shared" si="9"/>
        <v>19751.04</v>
      </c>
      <c r="AF11" s="97">
        <f t="shared" si="10"/>
        <v>12296</v>
      </c>
      <c r="AG11" s="98">
        <f t="shared" si="11"/>
        <v>1645.92</v>
      </c>
      <c r="AH11" s="98">
        <f t="shared" si="12"/>
        <v>11521.44</v>
      </c>
      <c r="AI11" s="98">
        <f t="shared" si="13"/>
        <v>12296</v>
      </c>
      <c r="AJ11" s="428">
        <f t="shared" si="14"/>
        <v>1.0672277076476551</v>
      </c>
      <c r="AK11" s="429">
        <f t="shared" si="15"/>
        <v>774.55999999999949</v>
      </c>
    </row>
    <row r="12" spans="1:38" ht="17.25" x14ac:dyDescent="0.3">
      <c r="A12"/>
      <c r="B12"/>
      <c r="C12" s="64"/>
      <c r="D12" s="65"/>
      <c r="E12" s="66"/>
      <c r="F12" s="432">
        <v>107356</v>
      </c>
      <c r="G12" s="19" t="s">
        <v>435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0</v>
      </c>
      <c r="P12" s="74">
        <f>+REMB!DG9</f>
        <v>0</v>
      </c>
      <c r="Q12" s="74">
        <f>+REMB!DH9</f>
        <v>0</v>
      </c>
      <c r="R12" s="74">
        <f>+REMB!DI9</f>
        <v>0</v>
      </c>
      <c r="S12" s="74">
        <f>+REMB!DJ9</f>
        <v>0</v>
      </c>
      <c r="T12" s="423">
        <f t="shared" si="1"/>
        <v>10935</v>
      </c>
      <c r="U12" s="74">
        <f>Poblacion2024!E9</f>
        <v>18492.717600000004</v>
      </c>
      <c r="V12" s="75">
        <f t="shared" si="2"/>
        <v>0.59131384778189644</v>
      </c>
      <c r="W12" s="590">
        <f t="shared" si="3"/>
        <v>1.08</v>
      </c>
      <c r="X12" s="76">
        <f t="shared" si="4"/>
        <v>0.54</v>
      </c>
      <c r="Y12" s="77">
        <f t="shared" si="16"/>
        <v>1</v>
      </c>
      <c r="Z12" s="77">
        <f t="shared" si="0"/>
        <v>6.25E-2</v>
      </c>
      <c r="AA12" s="95">
        <f t="shared" si="5"/>
        <v>1.08</v>
      </c>
      <c r="AB12" s="95">
        <f t="shared" si="6"/>
        <v>0.59131384778189644</v>
      </c>
      <c r="AC12" s="427">
        <f t="shared" si="7"/>
        <v>0.5475128220202744</v>
      </c>
      <c r="AD12" s="97">
        <f t="shared" si="8"/>
        <v>18492.717600000004</v>
      </c>
      <c r="AE12" s="98">
        <f t="shared" si="9"/>
        <v>19972.135008000005</v>
      </c>
      <c r="AF12" s="97">
        <f t="shared" si="10"/>
        <v>10935</v>
      </c>
      <c r="AG12" s="98">
        <f t="shared" si="11"/>
        <v>1664.3445840000004</v>
      </c>
      <c r="AH12" s="98">
        <f t="shared" si="12"/>
        <v>11650.412088000003</v>
      </c>
      <c r="AI12" s="98">
        <f t="shared" si="13"/>
        <v>10935</v>
      </c>
      <c r="AJ12" s="428">
        <f t="shared" si="14"/>
        <v>0.93859340917761336</v>
      </c>
      <c r="AK12" s="429">
        <f t="shared" si="15"/>
        <v>-715.41208800000277</v>
      </c>
    </row>
    <row r="13" spans="1:38" ht="17.25" x14ac:dyDescent="0.3">
      <c r="A13"/>
      <c r="B13"/>
      <c r="C13" s="64"/>
      <c r="D13" s="65"/>
      <c r="E13" s="66"/>
      <c r="F13" s="432">
        <v>107357</v>
      </c>
      <c r="G13" s="19" t="s">
        <v>436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0</v>
      </c>
      <c r="P13" s="74">
        <f>+REMB!DG10</f>
        <v>0</v>
      </c>
      <c r="Q13" s="74">
        <f>+REMB!DH10</f>
        <v>0</v>
      </c>
      <c r="R13" s="74">
        <f>+REMB!DI10</f>
        <v>0</v>
      </c>
      <c r="S13" s="74">
        <f>+REMB!DJ10</f>
        <v>0</v>
      </c>
      <c r="T13" s="423">
        <f t="shared" si="1"/>
        <v>13446</v>
      </c>
      <c r="U13" s="74">
        <f>Poblacion2024!E10</f>
        <v>18509</v>
      </c>
      <c r="V13" s="75">
        <f t="shared" si="2"/>
        <v>0.726457399103139</v>
      </c>
      <c r="W13" s="590">
        <f t="shared" si="3"/>
        <v>1.08</v>
      </c>
      <c r="X13" s="76">
        <f t="shared" si="4"/>
        <v>0.54</v>
      </c>
      <c r="Y13" s="77">
        <f t="shared" si="16"/>
        <v>1</v>
      </c>
      <c r="Z13" s="77">
        <f t="shared" si="0"/>
        <v>6.25E-2</v>
      </c>
      <c r="AA13" s="95">
        <f t="shared" si="5"/>
        <v>1.08</v>
      </c>
      <c r="AB13" s="95">
        <f t="shared" si="6"/>
        <v>0.726457399103139</v>
      </c>
      <c r="AC13" s="427">
        <f t="shared" si="7"/>
        <v>0.67264573991031384</v>
      </c>
      <c r="AD13" s="97">
        <f t="shared" si="8"/>
        <v>18509</v>
      </c>
      <c r="AE13" s="98">
        <f t="shared" si="9"/>
        <v>19989.72</v>
      </c>
      <c r="AF13" s="97">
        <f t="shared" si="10"/>
        <v>13446</v>
      </c>
      <c r="AG13" s="98">
        <f t="shared" si="11"/>
        <v>1665.8100000000002</v>
      </c>
      <c r="AH13" s="98">
        <f t="shared" si="12"/>
        <v>11660.670000000002</v>
      </c>
      <c r="AI13" s="98">
        <f t="shared" si="13"/>
        <v>13446</v>
      </c>
      <c r="AJ13" s="428">
        <f t="shared" si="14"/>
        <v>1.1531069827033951</v>
      </c>
      <c r="AK13" s="429">
        <f t="shared" si="15"/>
        <v>1785.3299999999981</v>
      </c>
    </row>
    <row r="14" spans="1:38" ht="17.25" x14ac:dyDescent="0.3">
      <c r="A14"/>
      <c r="B14"/>
      <c r="C14" s="64"/>
      <c r="D14" s="65"/>
      <c r="E14" s="66"/>
      <c r="F14" s="432">
        <v>107400</v>
      </c>
      <c r="G14" s="19" t="s">
        <v>437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0</v>
      </c>
      <c r="P14" s="74">
        <f>+REMB!DG11</f>
        <v>0</v>
      </c>
      <c r="Q14" s="74">
        <f>+REMB!DH11</f>
        <v>0</v>
      </c>
      <c r="R14" s="74">
        <f>+REMB!DI11</f>
        <v>0</v>
      </c>
      <c r="S14" s="74">
        <f>+REMB!DJ11</f>
        <v>0</v>
      </c>
      <c r="T14" s="423">
        <f t="shared" si="1"/>
        <v>331</v>
      </c>
      <c r="U14" s="74">
        <f>Poblacion2024!E11</f>
        <v>497.09399999999994</v>
      </c>
      <c r="V14" s="75">
        <f t="shared" si="2"/>
        <v>0.66587003665302746</v>
      </c>
      <c r="W14" s="590">
        <f t="shared" si="3"/>
        <v>1.08</v>
      </c>
      <c r="X14" s="76">
        <f t="shared" si="4"/>
        <v>0.54</v>
      </c>
      <c r="Y14" s="77">
        <f t="shared" si="16"/>
        <v>1</v>
      </c>
      <c r="Z14" s="77">
        <f t="shared" si="0"/>
        <v>6.25E-2</v>
      </c>
      <c r="AA14" s="95">
        <f t="shared" si="5"/>
        <v>1.08</v>
      </c>
      <c r="AB14" s="95">
        <f t="shared" si="6"/>
        <v>0.66587003665302746</v>
      </c>
      <c r="AC14" s="427">
        <f t="shared" si="7"/>
        <v>0.61654633023428462</v>
      </c>
      <c r="AD14" s="97">
        <f t="shared" si="8"/>
        <v>497.09399999999994</v>
      </c>
      <c r="AE14" s="98">
        <f t="shared" si="9"/>
        <v>536.86151999999993</v>
      </c>
      <c r="AF14" s="97">
        <f t="shared" si="10"/>
        <v>331</v>
      </c>
      <c r="AG14" s="98">
        <f t="shared" si="11"/>
        <v>44.738459999999996</v>
      </c>
      <c r="AH14" s="98">
        <f t="shared" si="12"/>
        <v>313.16922</v>
      </c>
      <c r="AI14" s="98">
        <f t="shared" si="13"/>
        <v>331</v>
      </c>
      <c r="AJ14" s="428">
        <f t="shared" si="14"/>
        <v>1.0569365661159165</v>
      </c>
      <c r="AK14" s="429">
        <f t="shared" si="15"/>
        <v>17.830780000000004</v>
      </c>
    </row>
    <row r="15" spans="1:38" ht="18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5">
        <f>+REMB!CY12</f>
        <v>597</v>
      </c>
      <c r="I15" s="115">
        <f>+REMB!CZ12</f>
        <v>449</v>
      </c>
      <c r="J15" s="115">
        <f>+REMB!DA12</f>
        <v>550</v>
      </c>
      <c r="K15" s="115">
        <f>+REMB!DB12</f>
        <v>661</v>
      </c>
      <c r="L15" s="115">
        <f>+REMB!DC12</f>
        <v>745</v>
      </c>
      <c r="M15" s="115">
        <f>+REMB!DD12</f>
        <v>574</v>
      </c>
      <c r="N15" s="115">
        <f>+REMB!DE12</f>
        <v>650</v>
      </c>
      <c r="O15" s="115">
        <f>+REMB!DF12</f>
        <v>0</v>
      </c>
      <c r="P15" s="115">
        <f>+REMB!DG12</f>
        <v>0</v>
      </c>
      <c r="Q15" s="115">
        <f>+REMB!DH12</f>
        <v>0</v>
      </c>
      <c r="R15" s="115">
        <f>+REMB!DI12</f>
        <v>0</v>
      </c>
      <c r="S15" s="115">
        <f>+REMB!DJ12</f>
        <v>0</v>
      </c>
      <c r="T15" s="577">
        <f t="shared" si="1"/>
        <v>4226</v>
      </c>
      <c r="U15" s="115">
        <f>Poblacion2024!E12</f>
        <v>4880.282400000001</v>
      </c>
      <c r="V15" s="578">
        <f t="shared" si="2"/>
        <v>0.86593349597965874</v>
      </c>
      <c r="W15" s="677">
        <f t="shared" si="3"/>
        <v>1.08</v>
      </c>
      <c r="X15" s="579">
        <f t="shared" si="4"/>
        <v>0.54</v>
      </c>
      <c r="Y15" s="77">
        <f t="shared" si="16"/>
        <v>1</v>
      </c>
      <c r="Z15" s="77">
        <f t="shared" si="0"/>
        <v>6.25E-2</v>
      </c>
      <c r="AA15" s="557">
        <f t="shared" si="5"/>
        <v>1.08</v>
      </c>
      <c r="AB15" s="557">
        <f t="shared" si="6"/>
        <v>0.86593349597965874</v>
      </c>
      <c r="AC15" s="580">
        <f t="shared" si="7"/>
        <v>0.8017902740552395</v>
      </c>
      <c r="AD15" s="97">
        <f t="shared" si="8"/>
        <v>4880.282400000001</v>
      </c>
      <c r="AE15" s="98">
        <f t="shared" si="9"/>
        <v>5270.7049920000018</v>
      </c>
      <c r="AF15" s="97">
        <f t="shared" si="10"/>
        <v>4226</v>
      </c>
      <c r="AG15" s="98">
        <f t="shared" si="11"/>
        <v>439.22541600000017</v>
      </c>
      <c r="AH15" s="98">
        <f t="shared" si="12"/>
        <v>3074.5779120000011</v>
      </c>
      <c r="AI15" s="98">
        <f t="shared" si="13"/>
        <v>4226</v>
      </c>
      <c r="AJ15" s="581">
        <f t="shared" si="14"/>
        <v>1.3744976126661248</v>
      </c>
      <c r="AK15" s="429">
        <f t="shared" si="15"/>
        <v>1151.4220879999989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3" t="s">
        <v>15</v>
      </c>
      <c r="H16" s="85">
        <f>SUM(H9:H15)</f>
        <v>9331</v>
      </c>
      <c r="I16" s="85">
        <f t="shared" ref="I16:S16" si="17">SUM(I9:I15)</f>
        <v>10331</v>
      </c>
      <c r="J16" s="85">
        <f t="shared" si="17"/>
        <v>9022</v>
      </c>
      <c r="K16" s="85">
        <f t="shared" si="17"/>
        <v>10387</v>
      </c>
      <c r="L16" s="85">
        <f t="shared" si="17"/>
        <v>10323</v>
      </c>
      <c r="M16" s="85">
        <f t="shared" si="17"/>
        <v>10220</v>
      </c>
      <c r="N16" s="85">
        <f t="shared" si="17"/>
        <v>11549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84">
        <f>SUM(T9:T15)</f>
        <v>71163</v>
      </c>
      <c r="U16" s="539">
        <f>SUM(U9:U15)</f>
        <v>121593</v>
      </c>
      <c r="V16" s="87">
        <f>+T16/U16</f>
        <v>0.58525573018183608</v>
      </c>
      <c r="W16" s="678">
        <f t="shared" si="3"/>
        <v>1.08</v>
      </c>
      <c r="X16" s="585">
        <f t="shared" si="4"/>
        <v>0.54</v>
      </c>
      <c r="Y16" s="511">
        <f t="shared" si="16"/>
        <v>1</v>
      </c>
      <c r="Z16" s="511">
        <f t="shared" si="0"/>
        <v>6.25E-2</v>
      </c>
      <c r="AA16" s="752">
        <f t="shared" si="5"/>
        <v>1.08</v>
      </c>
      <c r="AB16" s="751">
        <f t="shared" si="6"/>
        <v>0.58525573018183608</v>
      </c>
      <c r="AC16" s="586">
        <f t="shared" si="7"/>
        <v>0.5419034538720704</v>
      </c>
      <c r="AD16" s="547">
        <f t="shared" si="8"/>
        <v>121593</v>
      </c>
      <c r="AE16" s="548">
        <f t="shared" si="9"/>
        <v>131320.44</v>
      </c>
      <c r="AF16" s="547">
        <f t="shared" si="10"/>
        <v>71163</v>
      </c>
      <c r="AG16" s="548">
        <f t="shared" si="11"/>
        <v>10943.37</v>
      </c>
      <c r="AH16" s="548">
        <f t="shared" si="12"/>
        <v>76603.590000000011</v>
      </c>
      <c r="AI16" s="548">
        <f t="shared" si="13"/>
        <v>71163</v>
      </c>
      <c r="AJ16" s="587">
        <f t="shared" si="14"/>
        <v>0.92897734949497779</v>
      </c>
      <c r="AK16" s="429">
        <f t="shared" si="15"/>
        <v>-5440.5900000000111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>
        <f>SUM(U8:U16)</f>
        <v>243186</v>
      </c>
      <c r="V18" s="87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topLeftCell="T1" zoomScale="77" zoomScaleNormal="77" workbookViewId="0">
      <selection activeCell="X11" sqref="X1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3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7" width="7.42578125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4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102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862"/>
      <c r="AF2" s="862"/>
      <c r="AG2" s="862"/>
      <c r="AH2" s="862"/>
      <c r="AI2" s="863" t="str">
        <f>+NOMBRE!B7</f>
        <v>ENERO - JULIO 2024</v>
      </c>
      <c r="AJ2" s="863"/>
      <c r="AK2" s="863"/>
      <c r="AL2" s="863"/>
      <c r="AM2" s="102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864" t="s">
        <v>513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6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1" ht="28.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8"/>
      <c r="AL5" s="869"/>
      <c r="AM5" s="5"/>
      <c r="AN5" s="5"/>
      <c r="AP5" s="6"/>
      <c r="AR5" s="5"/>
      <c r="AS5" s="88" t="s">
        <v>46</v>
      </c>
      <c r="AT5" s="89">
        <f>meta3!AB2</f>
        <v>7</v>
      </c>
      <c r="AU5" s="6"/>
      <c r="AW5" s="5"/>
    </row>
    <row r="6" spans="1:51" ht="66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5" t="s">
        <v>5</v>
      </c>
      <c r="V6" s="896"/>
      <c r="W6" s="896"/>
      <c r="X6" s="896"/>
      <c r="Y6" s="896"/>
      <c r="Z6" s="896"/>
      <c r="AA6" s="896"/>
      <c r="AB6" s="896"/>
      <c r="AC6" s="896"/>
      <c r="AD6" s="896"/>
      <c r="AE6" s="896"/>
      <c r="AF6" s="896"/>
      <c r="AG6" s="896"/>
      <c r="AH6" s="870" t="s">
        <v>6</v>
      </c>
      <c r="AI6" s="872">
        <f>+NOMBRE!$B$9</f>
        <v>2024</v>
      </c>
      <c r="AJ6" s="894"/>
      <c r="AK6" s="874" t="s">
        <v>7</v>
      </c>
      <c r="AL6" s="875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1" ht="69.75" customHeight="1" thickBot="1" x14ac:dyDescent="0.3">
      <c r="G7" s="606" t="s">
        <v>431</v>
      </c>
      <c r="H7" s="876" t="s">
        <v>79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6" t="s">
        <v>80</v>
      </c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7"/>
      <c r="AH7" s="893"/>
      <c r="AI7" s="12" t="s">
        <v>11</v>
      </c>
      <c r="AJ7" s="12" t="s">
        <v>463</v>
      </c>
      <c r="AK7" s="14" t="s">
        <v>13</v>
      </c>
      <c r="AL7" s="14" t="s">
        <v>504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  <c r="AX7" s="105"/>
      <c r="AY7"/>
    </row>
    <row r="8" spans="1:51" ht="69.75" customHeight="1" thickBot="1" x14ac:dyDescent="0.3">
      <c r="F8" s="62" t="s">
        <v>93</v>
      </c>
      <c r="G8" s="606" t="s">
        <v>431</v>
      </c>
      <c r="H8" s="422" t="s">
        <v>189</v>
      </c>
      <c r="I8" s="422" t="s">
        <v>190</v>
      </c>
      <c r="J8" s="422" t="s">
        <v>191</v>
      </c>
      <c r="K8" s="422" t="s">
        <v>192</v>
      </c>
      <c r="L8" s="422" t="s">
        <v>193</v>
      </c>
      <c r="M8" s="422" t="s">
        <v>194</v>
      </c>
      <c r="N8" s="422" t="s">
        <v>195</v>
      </c>
      <c r="O8" s="422" t="s">
        <v>196</v>
      </c>
      <c r="P8" s="422" t="s">
        <v>423</v>
      </c>
      <c r="Q8" s="422" t="s">
        <v>198</v>
      </c>
      <c r="R8" s="422" t="s">
        <v>199</v>
      </c>
      <c r="S8" s="422" t="s">
        <v>200</v>
      </c>
      <c r="T8" s="425" t="s">
        <v>201</v>
      </c>
      <c r="U8" s="422" t="s">
        <v>189</v>
      </c>
      <c r="V8" s="422" t="s">
        <v>190</v>
      </c>
      <c r="W8" s="422" t="s">
        <v>191</v>
      </c>
      <c r="X8" s="422" t="s">
        <v>192</v>
      </c>
      <c r="Y8" s="422" t="s">
        <v>193</v>
      </c>
      <c r="Z8" s="422" t="s">
        <v>194</v>
      </c>
      <c r="AA8" s="422" t="s">
        <v>195</v>
      </c>
      <c r="AB8" s="422" t="s">
        <v>196</v>
      </c>
      <c r="AC8" s="422" t="s">
        <v>423</v>
      </c>
      <c r="AD8" s="422" t="s">
        <v>198</v>
      </c>
      <c r="AE8" s="422" t="s">
        <v>199</v>
      </c>
      <c r="AF8" s="422" t="s">
        <v>200</v>
      </c>
      <c r="AG8" s="647" t="s">
        <v>201</v>
      </c>
      <c r="AH8" s="648"/>
      <c r="AI8" s="483" t="str">
        <f>indicadores!E17</f>
        <v xml:space="preserve">&gt;= 90,7% </v>
      </c>
      <c r="AJ8" s="483">
        <v>1</v>
      </c>
      <c r="AK8" s="442"/>
      <c r="AL8" s="488">
        <v>5.49</v>
      </c>
      <c r="AM8" s="492" t="s">
        <v>68</v>
      </c>
      <c r="AN8" s="492" t="s">
        <v>69</v>
      </c>
      <c r="AO8" s="492" t="s">
        <v>70</v>
      </c>
      <c r="AP8" s="492" t="s">
        <v>71</v>
      </c>
      <c r="AQ8" s="492" t="s">
        <v>72</v>
      </c>
      <c r="AR8" s="492" t="s">
        <v>73</v>
      </c>
      <c r="AS8" s="492" t="s">
        <v>74</v>
      </c>
      <c r="AT8" s="492" t="s">
        <v>75</v>
      </c>
      <c r="AU8" s="492" t="s">
        <v>76</v>
      </c>
      <c r="AV8" s="492" t="s">
        <v>77</v>
      </c>
      <c r="AW8" s="492" t="s">
        <v>78</v>
      </c>
      <c r="AX8" s="105"/>
      <c r="AY8"/>
    </row>
    <row r="9" spans="1:51" ht="15" customHeight="1" thickBot="1" x14ac:dyDescent="0.35">
      <c r="A9"/>
      <c r="B9"/>
      <c r="C9" s="64"/>
      <c r="D9" s="65"/>
      <c r="E9" s="66"/>
      <c r="F9" s="431">
        <v>107307</v>
      </c>
      <c r="G9" s="19" t="s">
        <v>432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0</v>
      </c>
      <c r="P9" s="68">
        <f>+REMB!DG6-REMB!DU6</f>
        <v>0</v>
      </c>
      <c r="Q9" s="68">
        <f>+REMB!DH6-REMB!DV6</f>
        <v>0</v>
      </c>
      <c r="R9" s="68">
        <f>+REMB!DI6-REMB!DW6</f>
        <v>0</v>
      </c>
      <c r="S9" s="68">
        <f>+REMB!DJ6-REMB!DX6</f>
        <v>0</v>
      </c>
      <c r="T9" s="473">
        <f>SUM(H9:P9)</f>
        <v>17216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0</v>
      </c>
      <c r="AC9" s="68">
        <f>+REMB!DG6</f>
        <v>0</v>
      </c>
      <c r="AD9" s="68">
        <f>+REMB!DH6</f>
        <v>0</v>
      </c>
      <c r="AE9" s="68">
        <f>+REMB!DI6</f>
        <v>0</v>
      </c>
      <c r="AF9" s="68">
        <f>+REMB!DJ6</f>
        <v>0</v>
      </c>
      <c r="AG9" s="473">
        <f>SUM(U9:AF9)</f>
        <v>17794</v>
      </c>
      <c r="AH9" s="45">
        <f>IF(AG9=0,0,+T9/AG9)</f>
        <v>0.96751714060919414</v>
      </c>
      <c r="AI9" s="108">
        <v>0.90700000000000003</v>
      </c>
      <c r="AJ9" s="663">
        <f>+AI9*$AJ$8</f>
        <v>0.90700000000000003</v>
      </c>
      <c r="AK9" s="107">
        <f>IF(+AH9/AJ9&gt;=1,1,+AH9/AJ9)</f>
        <v>1</v>
      </c>
      <c r="AL9" s="71">
        <f>+AK9*$AL$8/100</f>
        <v>5.4900000000000004E-2</v>
      </c>
      <c r="AM9" s="146">
        <f>AI9</f>
        <v>0.90700000000000003</v>
      </c>
      <c r="AN9" s="95">
        <f>(AR9/AP9)</f>
        <v>0.96751714060919414</v>
      </c>
      <c r="AO9" s="594">
        <f>AN9/AM9</f>
        <v>1.0667223159969064</v>
      </c>
      <c r="AP9" s="499">
        <f>AG9</f>
        <v>17794</v>
      </c>
      <c r="AQ9" s="500">
        <f>AP9*AM9</f>
        <v>16139.158000000001</v>
      </c>
      <c r="AR9" s="499">
        <f>T9</f>
        <v>17216</v>
      </c>
      <c r="AS9" s="500">
        <f>AQ9/$AT$4</f>
        <v>1344.9298333333334</v>
      </c>
      <c r="AT9" s="500">
        <f>AS9*$AT$5</f>
        <v>9414.5088333333333</v>
      </c>
      <c r="AU9" s="500">
        <f>T9</f>
        <v>17216</v>
      </c>
      <c r="AV9" s="497">
        <f>AU9/AT9</f>
        <v>1.828666827423268</v>
      </c>
      <c r="AW9" s="429">
        <f>(AT9-AU9)*-1</f>
        <v>7801.4911666666667</v>
      </c>
    </row>
    <row r="10" spans="1:51" ht="15" customHeight="1" thickBot="1" x14ac:dyDescent="0.35">
      <c r="A10"/>
      <c r="B10"/>
      <c r="C10" s="64"/>
      <c r="D10" s="65"/>
      <c r="E10" s="66"/>
      <c r="F10" s="432">
        <v>107308</v>
      </c>
      <c r="G10" s="19" t="s">
        <v>433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0</v>
      </c>
      <c r="P10" s="73">
        <f>+REMB!DG7-REMB!DU7</f>
        <v>0</v>
      </c>
      <c r="Q10" s="73">
        <f>+REMB!DH7-REMB!DV7</f>
        <v>0</v>
      </c>
      <c r="R10" s="73">
        <f>+REMB!DI7-REMB!DW7</f>
        <v>0</v>
      </c>
      <c r="S10" s="73">
        <f>+REMB!DJ7-REMB!DX7</f>
        <v>0</v>
      </c>
      <c r="T10" s="473">
        <f t="shared" ref="T10:T15" si="0">SUM(H10:P10)</f>
        <v>11533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0</v>
      </c>
      <c r="AC10" s="73">
        <f>+REMB!DG7</f>
        <v>0</v>
      </c>
      <c r="AD10" s="73">
        <f>+REMB!DH7</f>
        <v>0</v>
      </c>
      <c r="AE10" s="73">
        <f>+REMB!DI7</f>
        <v>0</v>
      </c>
      <c r="AF10" s="73">
        <f>+REMB!DJ7</f>
        <v>0</v>
      </c>
      <c r="AG10" s="473">
        <f t="shared" ref="AG10:AG16" si="1">SUM(U10:AF10)</f>
        <v>12135</v>
      </c>
      <c r="AH10" s="40">
        <f t="shared" ref="AH10:AH16" si="2">IF(AG10=0,0,+T10/AG10)</f>
        <v>0.95039142974866087</v>
      </c>
      <c r="AI10" s="108">
        <v>0.90700000000000003</v>
      </c>
      <c r="AJ10" s="664">
        <f t="shared" ref="AJ10:AJ16" si="3">+AI10*$AJ$8</f>
        <v>0.90700000000000003</v>
      </c>
      <c r="AK10" s="109">
        <f t="shared" ref="AK10:AK16" si="4">IF(+AH10/AJ10&gt;=1,1,+AH10/AJ10)</f>
        <v>1</v>
      </c>
      <c r="AL10" s="71">
        <f t="shared" ref="AL10:AL16" si="5">+AK10*$AL$8/100</f>
        <v>5.4900000000000004E-2</v>
      </c>
      <c r="AM10" s="146">
        <f t="shared" ref="AM10:AM16" si="6">AI10</f>
        <v>0.90700000000000003</v>
      </c>
      <c r="AN10" s="95">
        <f t="shared" ref="AN10:AN16" si="7">(AR10/AP10)</f>
        <v>0.95039142974866087</v>
      </c>
      <c r="AO10" s="594">
        <f t="shared" ref="AO10:AO16" si="8">AN10/AM10</f>
        <v>1.0478406061175973</v>
      </c>
      <c r="AP10" s="499">
        <f t="shared" ref="AP10:AP16" si="9">AG10</f>
        <v>12135</v>
      </c>
      <c r="AQ10" s="500">
        <f t="shared" ref="AQ10:AQ16" si="10">AP10*AM10</f>
        <v>11006.445</v>
      </c>
      <c r="AR10" s="499">
        <f t="shared" ref="AR10:AR16" si="11">T10</f>
        <v>11533</v>
      </c>
      <c r="AS10" s="500">
        <f t="shared" ref="AS10:AS15" si="12">AQ10/$AT$4</f>
        <v>917.20375000000001</v>
      </c>
      <c r="AT10" s="500">
        <f t="shared" ref="AT10:AT16" si="13">AS10*$AT$5</f>
        <v>6420.4262500000004</v>
      </c>
      <c r="AU10" s="500">
        <f t="shared" ref="AU10:AU16" si="14">T10</f>
        <v>11533</v>
      </c>
      <c r="AV10" s="497">
        <f t="shared" ref="AV10:AV16" si="15">AU10/AT10</f>
        <v>1.7962981819158812</v>
      </c>
      <c r="AW10" s="429">
        <f t="shared" ref="AW10:AW16" si="16">(AT10-AU10)*-1</f>
        <v>5112.5737499999996</v>
      </c>
    </row>
    <row r="11" spans="1:51" ht="15" customHeight="1" thickBot="1" x14ac:dyDescent="0.35">
      <c r="A11"/>
      <c r="B11"/>
      <c r="C11" s="64"/>
      <c r="D11" s="65"/>
      <c r="E11" s="66"/>
      <c r="F11" s="432">
        <v>107353</v>
      </c>
      <c r="G11" s="19" t="s">
        <v>434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0</v>
      </c>
      <c r="P11" s="73">
        <f>+REMB!DG8-REMB!DU8</f>
        <v>0</v>
      </c>
      <c r="Q11" s="73">
        <f>+REMB!DH8-REMB!DV8</f>
        <v>0</v>
      </c>
      <c r="R11" s="73">
        <f>+REMB!DI8-REMB!DW8</f>
        <v>0</v>
      </c>
      <c r="S11" s="73">
        <f>+REMB!DJ8-REMB!DX8</f>
        <v>0</v>
      </c>
      <c r="T11" s="473">
        <f t="shared" si="0"/>
        <v>10710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0</v>
      </c>
      <c r="AC11" s="73">
        <f>+REMB!DG8</f>
        <v>0</v>
      </c>
      <c r="AD11" s="73">
        <f>+REMB!DH8</f>
        <v>0</v>
      </c>
      <c r="AE11" s="73">
        <f>+REMB!DI8</f>
        <v>0</v>
      </c>
      <c r="AF11" s="73">
        <f>+REMB!DJ8</f>
        <v>0</v>
      </c>
      <c r="AG11" s="473">
        <f t="shared" si="1"/>
        <v>12296</v>
      </c>
      <c r="AH11" s="40">
        <f t="shared" si="2"/>
        <v>0.87101496421600522</v>
      </c>
      <c r="AI11" s="108">
        <v>0.90700000000000003</v>
      </c>
      <c r="AJ11" s="664">
        <f t="shared" si="3"/>
        <v>0.90700000000000003</v>
      </c>
      <c r="AK11" s="109">
        <f t="shared" si="4"/>
        <v>0.96032520861742576</v>
      </c>
      <c r="AL11" s="71">
        <f t="shared" si="5"/>
        <v>5.2721853953096677E-2</v>
      </c>
      <c r="AM11" s="146">
        <f t="shared" si="6"/>
        <v>0.90700000000000003</v>
      </c>
      <c r="AN11" s="95">
        <f t="shared" si="7"/>
        <v>0.87101496421600522</v>
      </c>
      <c r="AO11" s="594">
        <f t="shared" si="8"/>
        <v>0.96032520861742576</v>
      </c>
      <c r="AP11" s="499">
        <f t="shared" si="9"/>
        <v>12296</v>
      </c>
      <c r="AQ11" s="500">
        <f t="shared" si="10"/>
        <v>11152.472</v>
      </c>
      <c r="AR11" s="499">
        <f t="shared" si="11"/>
        <v>10710</v>
      </c>
      <c r="AS11" s="500">
        <f t="shared" si="12"/>
        <v>929.37266666666665</v>
      </c>
      <c r="AT11" s="500">
        <f t="shared" si="13"/>
        <v>6505.608666666667</v>
      </c>
      <c r="AU11" s="500">
        <f t="shared" si="14"/>
        <v>10710</v>
      </c>
      <c r="AV11" s="497">
        <f t="shared" si="15"/>
        <v>1.6462717862013012</v>
      </c>
      <c r="AW11" s="429">
        <f t="shared" si="16"/>
        <v>4204.391333333333</v>
      </c>
    </row>
    <row r="12" spans="1:51" ht="15" customHeight="1" thickBot="1" x14ac:dyDescent="0.35">
      <c r="A12"/>
      <c r="B12"/>
      <c r="C12" s="64"/>
      <c r="D12" s="65"/>
      <c r="E12" s="66"/>
      <c r="F12" s="432">
        <v>107356</v>
      </c>
      <c r="G12" s="19" t="s">
        <v>435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0</v>
      </c>
      <c r="P12" s="73">
        <f>+REMB!DG9-REMB!DU9</f>
        <v>0</v>
      </c>
      <c r="Q12" s="73">
        <f>+REMB!DH9-REMB!DV9</f>
        <v>0</v>
      </c>
      <c r="R12" s="73">
        <f>+REMB!DI9-REMB!DW9</f>
        <v>0</v>
      </c>
      <c r="S12" s="73">
        <f>+REMB!DJ9-REMB!DX9</f>
        <v>0</v>
      </c>
      <c r="T12" s="473">
        <f t="shared" si="0"/>
        <v>10075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0</v>
      </c>
      <c r="AC12" s="73">
        <f>+REMB!DG9</f>
        <v>0</v>
      </c>
      <c r="AD12" s="73">
        <f>+REMB!DH9</f>
        <v>0</v>
      </c>
      <c r="AE12" s="73">
        <f>+REMB!DI9</f>
        <v>0</v>
      </c>
      <c r="AF12" s="73">
        <f>+REMB!DJ9</f>
        <v>0</v>
      </c>
      <c r="AG12" s="473">
        <f t="shared" si="1"/>
        <v>10935</v>
      </c>
      <c r="AH12" s="40">
        <f t="shared" si="2"/>
        <v>0.92135345221764975</v>
      </c>
      <c r="AI12" s="108">
        <v>0.90700000000000003</v>
      </c>
      <c r="AJ12" s="664">
        <f t="shared" si="3"/>
        <v>0.90700000000000003</v>
      </c>
      <c r="AK12" s="109">
        <f t="shared" si="4"/>
        <v>1</v>
      </c>
      <c r="AL12" s="71">
        <f t="shared" si="5"/>
        <v>5.4900000000000004E-2</v>
      </c>
      <c r="AM12" s="146">
        <f t="shared" si="6"/>
        <v>0.90700000000000003</v>
      </c>
      <c r="AN12" s="95">
        <f t="shared" si="7"/>
        <v>0.92135345221764975</v>
      </c>
      <c r="AO12" s="594">
        <f t="shared" si="8"/>
        <v>1.0158251953888089</v>
      </c>
      <c r="AP12" s="499">
        <f t="shared" si="9"/>
        <v>10935</v>
      </c>
      <c r="AQ12" s="500">
        <f t="shared" si="10"/>
        <v>9918.0450000000001</v>
      </c>
      <c r="AR12" s="499">
        <f t="shared" si="11"/>
        <v>10075</v>
      </c>
      <c r="AS12" s="500">
        <f t="shared" si="12"/>
        <v>826.50374999999997</v>
      </c>
      <c r="AT12" s="500">
        <f t="shared" si="13"/>
        <v>5785.5262499999999</v>
      </c>
      <c r="AU12" s="500">
        <f t="shared" si="14"/>
        <v>10075</v>
      </c>
      <c r="AV12" s="497">
        <f t="shared" si="15"/>
        <v>1.7414146206665297</v>
      </c>
      <c r="AW12" s="429">
        <f t="shared" si="16"/>
        <v>4289.4737500000001</v>
      </c>
    </row>
    <row r="13" spans="1:51" ht="15" customHeight="1" thickBot="1" x14ac:dyDescent="0.35">
      <c r="A13"/>
      <c r="B13"/>
      <c r="C13" s="64"/>
      <c r="D13" s="65"/>
      <c r="E13" s="66"/>
      <c r="F13" s="432">
        <v>107357</v>
      </c>
      <c r="G13" s="19" t="s">
        <v>436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0</v>
      </c>
      <c r="P13" s="73">
        <f>+REMB!DG10-REMB!DU10</f>
        <v>0</v>
      </c>
      <c r="Q13" s="73">
        <f>+REMB!DH10-REMB!DV10</f>
        <v>0</v>
      </c>
      <c r="R13" s="73">
        <f>+REMB!DI10-REMB!DW10</f>
        <v>0</v>
      </c>
      <c r="S13" s="73">
        <f>+REMB!DJ10-REMB!DX10</f>
        <v>0</v>
      </c>
      <c r="T13" s="473">
        <f t="shared" si="0"/>
        <v>10843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0</v>
      </c>
      <c r="AC13" s="73">
        <f>+REMB!DG10</f>
        <v>0</v>
      </c>
      <c r="AD13" s="73">
        <f>+REMB!DH10</f>
        <v>0</v>
      </c>
      <c r="AE13" s="73">
        <f>+REMB!DI10</f>
        <v>0</v>
      </c>
      <c r="AF13" s="73">
        <f>+REMB!DJ10</f>
        <v>0</v>
      </c>
      <c r="AG13" s="473">
        <f t="shared" si="1"/>
        <v>13446</v>
      </c>
      <c r="AH13" s="40">
        <f t="shared" si="2"/>
        <v>0.80641082849918189</v>
      </c>
      <c r="AI13" s="108">
        <v>0.90700000000000003</v>
      </c>
      <c r="AJ13" s="664">
        <f t="shared" si="3"/>
        <v>0.90700000000000003</v>
      </c>
      <c r="AK13" s="109">
        <f t="shared" si="4"/>
        <v>0.88909683406745521</v>
      </c>
      <c r="AL13" s="71">
        <f t="shared" si="5"/>
        <v>4.8811416190303297E-2</v>
      </c>
      <c r="AM13" s="146">
        <f t="shared" si="6"/>
        <v>0.90700000000000003</v>
      </c>
      <c r="AN13" s="95">
        <f t="shared" si="7"/>
        <v>0.80641082849918189</v>
      </c>
      <c r="AO13" s="594">
        <f t="shared" si="8"/>
        <v>0.88909683406745521</v>
      </c>
      <c r="AP13" s="499">
        <f t="shared" si="9"/>
        <v>13446</v>
      </c>
      <c r="AQ13" s="500">
        <f t="shared" si="10"/>
        <v>12195.522000000001</v>
      </c>
      <c r="AR13" s="499">
        <f t="shared" si="11"/>
        <v>10843</v>
      </c>
      <c r="AS13" s="500">
        <f t="shared" si="12"/>
        <v>1016.2935000000001</v>
      </c>
      <c r="AT13" s="500">
        <f t="shared" si="13"/>
        <v>7114.0545000000011</v>
      </c>
      <c r="AU13" s="500">
        <f t="shared" si="14"/>
        <v>10843</v>
      </c>
      <c r="AV13" s="497">
        <f t="shared" si="15"/>
        <v>1.5241660012584946</v>
      </c>
      <c r="AW13" s="429">
        <f t="shared" si="16"/>
        <v>3728.9454999999989</v>
      </c>
    </row>
    <row r="14" spans="1:51" ht="15" customHeight="1" thickBot="1" x14ac:dyDescent="0.35">
      <c r="A14"/>
      <c r="B14"/>
      <c r="C14" s="64"/>
      <c r="D14" s="65"/>
      <c r="E14" s="66"/>
      <c r="F14" s="432">
        <v>107400</v>
      </c>
      <c r="G14" s="19" t="s">
        <v>437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0</v>
      </c>
      <c r="P14" s="73">
        <f>+REMB!DG11-REMB!DU11</f>
        <v>0</v>
      </c>
      <c r="Q14" s="73">
        <f>+REMB!DH11-REMB!DV11</f>
        <v>0</v>
      </c>
      <c r="R14" s="73">
        <f>+REMB!DI11-REMB!DW11</f>
        <v>0</v>
      </c>
      <c r="S14" s="73">
        <f>+REMB!DJ11-REMB!DX11</f>
        <v>0</v>
      </c>
      <c r="T14" s="473">
        <f t="shared" si="0"/>
        <v>275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0</v>
      </c>
      <c r="AC14" s="73">
        <f>+REMB!DG11</f>
        <v>0</v>
      </c>
      <c r="AD14" s="73">
        <f>+REMB!DH11</f>
        <v>0</v>
      </c>
      <c r="AE14" s="73">
        <f>+REMB!DI11</f>
        <v>0</v>
      </c>
      <c r="AF14" s="73">
        <f>+REMB!DJ11</f>
        <v>0</v>
      </c>
      <c r="AG14" s="473">
        <f t="shared" si="1"/>
        <v>331</v>
      </c>
      <c r="AH14" s="40">
        <f t="shared" si="2"/>
        <v>0.83081570996978849</v>
      </c>
      <c r="AI14" s="108">
        <v>0.90700000000000003</v>
      </c>
      <c r="AJ14" s="664">
        <f t="shared" si="3"/>
        <v>0.90700000000000003</v>
      </c>
      <c r="AK14" s="109">
        <f t="shared" si="4"/>
        <v>0.91600409037462893</v>
      </c>
      <c r="AL14" s="71">
        <f t="shared" si="5"/>
        <v>5.0288624561567137E-2</v>
      </c>
      <c r="AM14" s="146">
        <f t="shared" si="6"/>
        <v>0.90700000000000003</v>
      </c>
      <c r="AN14" s="95">
        <f t="shared" si="7"/>
        <v>0.83081570996978849</v>
      </c>
      <c r="AO14" s="594">
        <f t="shared" si="8"/>
        <v>0.91600409037462893</v>
      </c>
      <c r="AP14" s="499">
        <f t="shared" si="9"/>
        <v>331</v>
      </c>
      <c r="AQ14" s="500">
        <f t="shared" si="10"/>
        <v>300.21699999999998</v>
      </c>
      <c r="AR14" s="499">
        <f t="shared" si="11"/>
        <v>275</v>
      </c>
      <c r="AS14" s="500">
        <f t="shared" si="12"/>
        <v>25.018083333333333</v>
      </c>
      <c r="AT14" s="500">
        <f t="shared" si="13"/>
        <v>175.12658333333334</v>
      </c>
      <c r="AU14" s="500">
        <f t="shared" si="14"/>
        <v>275</v>
      </c>
      <c r="AV14" s="497">
        <f t="shared" si="15"/>
        <v>1.5702927263565067</v>
      </c>
      <c r="AW14" s="429">
        <f t="shared" si="16"/>
        <v>99.873416666666657</v>
      </c>
    </row>
    <row r="15" spans="1:51" ht="15" customHeight="1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4">
        <f>+REMB!CY12-REMB!DM12</f>
        <v>493</v>
      </c>
      <c r="I15" s="114">
        <f>+REMB!CZ12-REMB!DN12</f>
        <v>402</v>
      </c>
      <c r="J15" s="114">
        <f>+REMB!DA12-REMB!DO12</f>
        <v>492</v>
      </c>
      <c r="K15" s="114">
        <f>+REMB!DB12-REMB!DP12</f>
        <v>612</v>
      </c>
      <c r="L15" s="114">
        <f>+REMB!DC12-REMB!DQ12</f>
        <v>670</v>
      </c>
      <c r="M15" s="114">
        <f>+REMB!DD12-REMB!DR12</f>
        <v>513</v>
      </c>
      <c r="N15" s="114">
        <f>+REMB!DE12-REMB!DS12</f>
        <v>540</v>
      </c>
      <c r="O15" s="114">
        <f>+REMB!DF12-REMB!DT12</f>
        <v>0</v>
      </c>
      <c r="P15" s="114">
        <f>+REMB!DG12-REMB!DU12</f>
        <v>0</v>
      </c>
      <c r="Q15" s="114">
        <f>+REMB!DH12-REMB!DV12</f>
        <v>0</v>
      </c>
      <c r="R15" s="114">
        <f>+REMB!DI12-REMB!DW12</f>
        <v>0</v>
      </c>
      <c r="S15" s="114">
        <f>+REMB!DJ12-REMB!DX12</f>
        <v>0</v>
      </c>
      <c r="T15" s="591">
        <f t="shared" si="0"/>
        <v>3722</v>
      </c>
      <c r="U15" s="114">
        <f>+REMB!CY12</f>
        <v>597</v>
      </c>
      <c r="V15" s="114">
        <f>+REMB!CZ12</f>
        <v>449</v>
      </c>
      <c r="W15" s="114">
        <f>+REMB!DA12</f>
        <v>550</v>
      </c>
      <c r="X15" s="114">
        <f>+REMB!DB12</f>
        <v>661</v>
      </c>
      <c r="Y15" s="114">
        <f>+REMB!DC12</f>
        <v>745</v>
      </c>
      <c r="Z15" s="114">
        <f>+REMB!DD12</f>
        <v>574</v>
      </c>
      <c r="AA15" s="114">
        <f>+REMB!DE12</f>
        <v>650</v>
      </c>
      <c r="AB15" s="114">
        <f>+REMB!DF12</f>
        <v>0</v>
      </c>
      <c r="AC15" s="114">
        <f>+REMB!DG12</f>
        <v>0</v>
      </c>
      <c r="AD15" s="114">
        <f>+REMB!DH12</f>
        <v>0</v>
      </c>
      <c r="AE15" s="114">
        <f>+REMB!DI12</f>
        <v>0</v>
      </c>
      <c r="AF15" s="114">
        <f>+REMB!DJ12</f>
        <v>0</v>
      </c>
      <c r="AG15" s="591">
        <f t="shared" si="1"/>
        <v>4226</v>
      </c>
      <c r="AH15" s="54">
        <f t="shared" si="2"/>
        <v>0.88073828679602462</v>
      </c>
      <c r="AI15" s="108">
        <v>0.90700000000000003</v>
      </c>
      <c r="AJ15" s="665">
        <f t="shared" si="3"/>
        <v>0.90700000000000003</v>
      </c>
      <c r="AK15" s="592">
        <f t="shared" si="4"/>
        <v>0.97104552017202272</v>
      </c>
      <c r="AL15" s="71">
        <f t="shared" si="5"/>
        <v>5.3310399057444051E-2</v>
      </c>
      <c r="AM15" s="542">
        <f t="shared" si="6"/>
        <v>0.90700000000000003</v>
      </c>
      <c r="AN15" s="557">
        <f t="shared" si="7"/>
        <v>0.88073828679602462</v>
      </c>
      <c r="AO15" s="595">
        <f t="shared" si="8"/>
        <v>0.97104552017202272</v>
      </c>
      <c r="AP15" s="499">
        <f t="shared" si="9"/>
        <v>4226</v>
      </c>
      <c r="AQ15" s="500">
        <f t="shared" si="10"/>
        <v>3832.982</v>
      </c>
      <c r="AR15" s="499">
        <f t="shared" si="11"/>
        <v>3722</v>
      </c>
      <c r="AS15" s="500">
        <f t="shared" si="12"/>
        <v>319.41516666666666</v>
      </c>
      <c r="AT15" s="500">
        <f t="shared" si="13"/>
        <v>2235.9061666666666</v>
      </c>
      <c r="AU15" s="500">
        <f t="shared" si="14"/>
        <v>3722</v>
      </c>
      <c r="AV15" s="574">
        <f t="shared" si="15"/>
        <v>1.664649463152039</v>
      </c>
      <c r="AW15" s="429">
        <f t="shared" si="16"/>
        <v>1486.0938333333334</v>
      </c>
    </row>
    <row r="16" spans="1:51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8398</v>
      </c>
      <c r="I16" s="85">
        <f t="shared" ref="I16:S16" si="17">SUM(I9:I15)</f>
        <v>9452</v>
      </c>
      <c r="J16" s="85">
        <f t="shared" si="17"/>
        <v>8075</v>
      </c>
      <c r="K16" s="85">
        <f t="shared" si="17"/>
        <v>9523</v>
      </c>
      <c r="L16" s="85">
        <f t="shared" si="17"/>
        <v>9499</v>
      </c>
      <c r="M16" s="85">
        <f t="shared" si="17"/>
        <v>9053</v>
      </c>
      <c r="N16" s="85">
        <f t="shared" si="17"/>
        <v>10374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93">
        <f>SUM(T9:T15)</f>
        <v>64374</v>
      </c>
      <c r="U16" s="85">
        <f>SUM(U9:U15)</f>
        <v>9331</v>
      </c>
      <c r="V16" s="85">
        <f t="shared" ref="V16:AF16" si="18">SUM(V9:V15)</f>
        <v>10331</v>
      </c>
      <c r="W16" s="85">
        <f t="shared" si="18"/>
        <v>9022</v>
      </c>
      <c r="X16" s="85">
        <f t="shared" si="18"/>
        <v>10387</v>
      </c>
      <c r="Y16" s="85">
        <f t="shared" si="18"/>
        <v>10323</v>
      </c>
      <c r="Z16" s="85">
        <f t="shared" si="18"/>
        <v>10220</v>
      </c>
      <c r="AA16" s="85">
        <f t="shared" si="18"/>
        <v>11549</v>
      </c>
      <c r="AB16" s="85">
        <f t="shared" si="18"/>
        <v>0</v>
      </c>
      <c r="AC16" s="85">
        <f t="shared" si="18"/>
        <v>0</v>
      </c>
      <c r="AD16" s="85">
        <f t="shared" si="18"/>
        <v>0</v>
      </c>
      <c r="AE16" s="85">
        <f t="shared" si="18"/>
        <v>0</v>
      </c>
      <c r="AF16" s="85">
        <f t="shared" si="18"/>
        <v>0</v>
      </c>
      <c r="AG16" s="593">
        <f t="shared" si="1"/>
        <v>71163</v>
      </c>
      <c r="AH16" s="478">
        <f t="shared" si="2"/>
        <v>0.90459930019813672</v>
      </c>
      <c r="AI16" s="540">
        <v>0.90700000000000003</v>
      </c>
      <c r="AJ16" s="540">
        <f t="shared" si="3"/>
        <v>0.90700000000000003</v>
      </c>
      <c r="AK16" s="679">
        <f t="shared" si="4"/>
        <v>0.99735314244557516</v>
      </c>
      <c r="AL16" s="511">
        <f t="shared" si="5"/>
        <v>5.475468752026208E-2</v>
      </c>
      <c r="AM16" s="545">
        <f t="shared" si="6"/>
        <v>0.90700000000000003</v>
      </c>
      <c r="AN16" s="563">
        <f t="shared" si="7"/>
        <v>0.90459930019813672</v>
      </c>
      <c r="AO16" s="564">
        <f t="shared" si="8"/>
        <v>0.99735314244557516</v>
      </c>
      <c r="AP16" s="596">
        <f t="shared" si="9"/>
        <v>71163</v>
      </c>
      <c r="AQ16" s="597">
        <f t="shared" si="10"/>
        <v>64544.841</v>
      </c>
      <c r="AR16" s="596">
        <f t="shared" si="11"/>
        <v>64374</v>
      </c>
      <c r="AS16" s="597">
        <f>AQ16/$AT$4</f>
        <v>5378.73675</v>
      </c>
      <c r="AT16" s="597">
        <f t="shared" si="13"/>
        <v>37651.157250000004</v>
      </c>
      <c r="AU16" s="597">
        <f t="shared" si="14"/>
        <v>64374</v>
      </c>
      <c r="AV16" s="549">
        <f t="shared" si="15"/>
        <v>1.7097482441924143</v>
      </c>
      <c r="AW16" s="429">
        <f t="shared" si="16"/>
        <v>26722.842749999996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FF0000"/>
  </sheetPr>
  <dimension ref="A1:BD31"/>
  <sheetViews>
    <sheetView zoomScale="70" zoomScaleNormal="70" workbookViewId="0">
      <selection activeCell="M28" sqref="M2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8.5703125" style="5" bestFit="1" customWidth="1"/>
    <col min="21" max="21" width="9.28515625" style="5" bestFit="1" customWidth="1"/>
    <col min="22" max="22" width="20.140625" style="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118"/>
      <c r="AL1" s="3"/>
      <c r="AM1" s="3"/>
    </row>
    <row r="2" spans="1:56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118"/>
      <c r="AL2" s="3"/>
      <c r="AM2" s="3"/>
    </row>
    <row r="3" spans="1:56" ht="3" customHeight="1" thickBot="1" x14ac:dyDescent="0.3"/>
    <row r="4" spans="1:56" ht="15" customHeight="1" x14ac:dyDescent="0.25">
      <c r="G4" s="58"/>
      <c r="H4" s="864" t="s">
        <v>514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97"/>
      <c r="W4" s="897"/>
      <c r="X4" s="897"/>
      <c r="Y4" s="897"/>
      <c r="Z4" s="897"/>
      <c r="AA4" s="898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56" ht="23.25" customHeight="1" thickBot="1" x14ac:dyDescent="0.3">
      <c r="G5" s="58"/>
      <c r="H5" s="899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1"/>
      <c r="AB5" s="5"/>
      <c r="AC5" s="5"/>
      <c r="AE5" s="6"/>
      <c r="AG5" s="5"/>
      <c r="AH5" s="88" t="s">
        <v>46</v>
      </c>
      <c r="AI5" s="89">
        <f>meta3!AB2</f>
        <v>7</v>
      </c>
      <c r="AJ5" s="6"/>
      <c r="AL5" s="5"/>
    </row>
    <row r="6" spans="1:56" ht="51" customHeight="1" thickBot="1" x14ac:dyDescent="0.3">
      <c r="G6" s="58"/>
      <c r="H6" s="895" t="s">
        <v>4</v>
      </c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905"/>
      <c r="V6" s="8" t="s">
        <v>5</v>
      </c>
      <c r="W6" s="870" t="s">
        <v>83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56" ht="93" customHeight="1" thickBot="1" x14ac:dyDescent="0.3">
      <c r="G7" s="58"/>
      <c r="H7" s="902" t="s">
        <v>84</v>
      </c>
      <c r="I7" s="903"/>
      <c r="J7" s="903"/>
      <c r="K7" s="903"/>
      <c r="L7" s="903"/>
      <c r="M7" s="903"/>
      <c r="N7" s="903"/>
      <c r="O7" s="903"/>
      <c r="P7" s="903"/>
      <c r="Q7" s="903"/>
      <c r="R7" s="903"/>
      <c r="S7" s="903"/>
      <c r="T7" s="903"/>
      <c r="U7" s="904"/>
      <c r="V7" s="11" t="s">
        <v>85</v>
      </c>
      <c r="W7" s="871"/>
      <c r="X7" s="12" t="s">
        <v>11</v>
      </c>
      <c r="Y7" s="12" t="s">
        <v>463</v>
      </c>
      <c r="Z7" s="119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56" ht="93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75" t="s">
        <v>201</v>
      </c>
      <c r="V8" s="440"/>
      <c r="W8" s="441"/>
      <c r="X8" s="681">
        <f>indicadores!E22</f>
        <v>0.16500000000000001</v>
      </c>
      <c r="Y8" s="483">
        <f>indicadores!$D$54</f>
        <v>0.5</v>
      </c>
      <c r="Z8" s="444"/>
      <c r="AA8" s="488">
        <v>5.49</v>
      </c>
      <c r="AB8" s="492" t="s">
        <v>68</v>
      </c>
      <c r="AC8" s="492" t="s">
        <v>69</v>
      </c>
      <c r="AD8" s="492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492" t="s">
        <v>77</v>
      </c>
      <c r="AL8" s="492" t="s">
        <v>78</v>
      </c>
    </row>
    <row r="9" spans="1:56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0</v>
      </c>
      <c r="Q9" s="68">
        <f>+REMA!CX6</f>
        <v>0</v>
      </c>
      <c r="R9" s="68">
        <f>+REMA!CY6</f>
        <v>0</v>
      </c>
      <c r="S9" s="68">
        <f>+REMA!CZ6</f>
        <v>0</v>
      </c>
      <c r="T9" s="68">
        <f>+REMA!DA6</f>
        <v>0</v>
      </c>
      <c r="U9" s="69">
        <f>SUM(I9:T9)</f>
        <v>912</v>
      </c>
      <c r="V9" s="69">
        <f>+Poblacion2024!G6</f>
        <v>11436.638181818184</v>
      </c>
      <c r="W9" s="70">
        <f>IF(V9=0,0,+U9/V9)</f>
        <v>7.9743713624680856E-2</v>
      </c>
      <c r="X9" s="649">
        <v>0.16500000000000001</v>
      </c>
      <c r="Y9" s="649">
        <f>+X9*$Y$8</f>
        <v>8.2500000000000004E-2</v>
      </c>
      <c r="Z9" s="121">
        <f t="shared" ref="Z9:Z16" si="0">IF(+W9/Y9&gt;1,1,+W9/Y9)</f>
        <v>0.96659046817794969</v>
      </c>
      <c r="AA9" s="71">
        <f>+Z9*$AA$8/100</f>
        <v>5.3065816702969434E-2</v>
      </c>
      <c r="AB9" s="598">
        <f>X9</f>
        <v>0.16500000000000001</v>
      </c>
      <c r="AC9" s="598">
        <f>(AG9/AE9)</f>
        <v>7.9743713624680856E-2</v>
      </c>
      <c r="AD9" s="599">
        <f>AC9/AB9</f>
        <v>0.48329523408897485</v>
      </c>
      <c r="AE9" s="499">
        <f>V9</f>
        <v>11436.638181818184</v>
      </c>
      <c r="AF9" s="500">
        <f>AE9*AB9</f>
        <v>1887.0453000000005</v>
      </c>
      <c r="AG9" s="499">
        <f>U9</f>
        <v>912</v>
      </c>
      <c r="AH9" s="500">
        <f>AF9/$AI$4</f>
        <v>157.25377500000005</v>
      </c>
      <c r="AI9" s="500">
        <f>AH9*$AI$5</f>
        <v>1100.7764250000002</v>
      </c>
      <c r="AJ9" s="500">
        <f>U9</f>
        <v>912</v>
      </c>
      <c r="AK9" s="491">
        <f>AJ9/AI9</f>
        <v>0.82850611558109977</v>
      </c>
      <c r="AL9" s="429">
        <f>(AI9-AJ9)*-1</f>
        <v>-188.77642500000024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0</v>
      </c>
      <c r="Q10" s="73">
        <f>+REMA!CX7</f>
        <v>0</v>
      </c>
      <c r="R10" s="73">
        <f>+REMA!CY7</f>
        <v>0</v>
      </c>
      <c r="S10" s="73">
        <f>+REMA!CZ7</f>
        <v>0</v>
      </c>
      <c r="T10" s="73">
        <f>+REMA!DA7</f>
        <v>0</v>
      </c>
      <c r="U10" s="74">
        <f t="shared" ref="U10:U15" si="1">SUM(I10:T10)</f>
        <v>260</v>
      </c>
      <c r="V10" s="74">
        <f>+Poblacion2024!G7</f>
        <v>7025.757575757576</v>
      </c>
      <c r="W10" s="76">
        <f t="shared" ref="W10:W16" si="2">IF(V10=0,0,+U10/V10)</f>
        <v>3.7006685356911796E-2</v>
      </c>
      <c r="X10" s="650">
        <v>0.16500000000000001</v>
      </c>
      <c r="Y10" s="650">
        <f t="shared" ref="Y10:Y16" si="3">+X10*$Y$8</f>
        <v>8.2500000000000004E-2</v>
      </c>
      <c r="Z10" s="125">
        <f t="shared" si="0"/>
        <v>0.44856588311408235</v>
      </c>
      <c r="AA10" s="71">
        <f t="shared" ref="AA10:AA16" si="4">+Z10*$AA$8/100</f>
        <v>2.4626266982963121E-2</v>
      </c>
      <c r="AB10" s="95">
        <f t="shared" ref="AB10:AB16" si="5">X10</f>
        <v>0.16500000000000001</v>
      </c>
      <c r="AC10" s="95">
        <f t="shared" ref="AC10:AC16" si="6">(AG10/AE10)</f>
        <v>3.7006685356911796E-2</v>
      </c>
      <c r="AD10" s="96">
        <f t="shared" ref="AD10:AD16" si="7">AC10/AB10</f>
        <v>0.22428294155704118</v>
      </c>
      <c r="AE10" s="499">
        <f t="shared" ref="AE10:AE16" si="8">V10</f>
        <v>7025.757575757576</v>
      </c>
      <c r="AF10" s="500">
        <f t="shared" ref="AF10:AF16" si="9">AE10*AB10</f>
        <v>1159.25</v>
      </c>
      <c r="AG10" s="499">
        <f t="shared" ref="AG10:AG16" si="10">U10</f>
        <v>260</v>
      </c>
      <c r="AH10" s="500">
        <f t="shared" ref="AH10:AH15" si="11">AF10/$AI$4</f>
        <v>96.604166666666671</v>
      </c>
      <c r="AI10" s="500">
        <f t="shared" ref="AI10:AI15" si="12">AH10*$AI$5</f>
        <v>676.22916666666674</v>
      </c>
      <c r="AJ10" s="500">
        <f t="shared" ref="AJ10:AJ16" si="13">U10</f>
        <v>260</v>
      </c>
      <c r="AK10" s="99">
        <f t="shared" ref="AK10:AK15" si="14">AJ10/AI10</f>
        <v>0.38448504266921341</v>
      </c>
      <c r="AL10" s="429">
        <f t="shared" ref="AL10:AL16" si="15">(AI10-AJ10)*-1</f>
        <v>-416.22916666666674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0</v>
      </c>
      <c r="Q11" s="73">
        <f>+REMA!CX8</f>
        <v>0</v>
      </c>
      <c r="R11" s="73">
        <f>+REMA!CY8</f>
        <v>0</v>
      </c>
      <c r="S11" s="73">
        <f>+REMA!CZ8</f>
        <v>0</v>
      </c>
      <c r="T11" s="73">
        <f>+REMA!DA8</f>
        <v>0</v>
      </c>
      <c r="U11" s="74">
        <f t="shared" si="1"/>
        <v>307</v>
      </c>
      <c r="V11" s="74">
        <f>+Poblacion2024!G8</f>
        <v>5541.818181818182</v>
      </c>
      <c r="W11" s="76">
        <f t="shared" si="2"/>
        <v>5.5396981627296588E-2</v>
      </c>
      <c r="X11" s="650">
        <v>0.16500000000000001</v>
      </c>
      <c r="Y11" s="650">
        <f t="shared" si="3"/>
        <v>8.2500000000000004E-2</v>
      </c>
      <c r="Z11" s="125">
        <f t="shared" si="0"/>
        <v>0.67147856517935256</v>
      </c>
      <c r="AA11" s="71">
        <f t="shared" si="4"/>
        <v>3.686417322834646E-2</v>
      </c>
      <c r="AB11" s="95">
        <f t="shared" si="5"/>
        <v>0.16500000000000001</v>
      </c>
      <c r="AC11" s="95">
        <f t="shared" si="6"/>
        <v>5.5396981627296588E-2</v>
      </c>
      <c r="AD11" s="96">
        <f t="shared" si="7"/>
        <v>0.33573928258967628</v>
      </c>
      <c r="AE11" s="499">
        <f t="shared" si="8"/>
        <v>5541.818181818182</v>
      </c>
      <c r="AF11" s="500">
        <f t="shared" si="9"/>
        <v>914.40000000000009</v>
      </c>
      <c r="AG11" s="499">
        <f t="shared" si="10"/>
        <v>307</v>
      </c>
      <c r="AH11" s="500">
        <f t="shared" si="11"/>
        <v>76.2</v>
      </c>
      <c r="AI11" s="500">
        <f t="shared" si="12"/>
        <v>533.4</v>
      </c>
      <c r="AJ11" s="500">
        <f t="shared" si="13"/>
        <v>307</v>
      </c>
      <c r="AK11" s="99">
        <f t="shared" si="14"/>
        <v>0.57555305586801653</v>
      </c>
      <c r="AL11" s="429">
        <f t="shared" si="15"/>
        <v>-226.39999999999998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0</v>
      </c>
      <c r="Q12" s="73">
        <f>+REMA!CX9</f>
        <v>0</v>
      </c>
      <c r="R12" s="73">
        <f>+REMA!CY9</f>
        <v>0</v>
      </c>
      <c r="S12" s="73">
        <f>+REMA!CZ9</f>
        <v>0</v>
      </c>
      <c r="T12" s="73">
        <f>+REMA!DA9</f>
        <v>0</v>
      </c>
      <c r="U12" s="74">
        <f t="shared" si="1"/>
        <v>398</v>
      </c>
      <c r="V12" s="74">
        <f>+Poblacion2024!G9</f>
        <v>5603.8538181818194</v>
      </c>
      <c r="W12" s="76">
        <f t="shared" si="2"/>
        <v>7.1022552142363318E-2</v>
      </c>
      <c r="X12" s="650">
        <v>0.16500000000000001</v>
      </c>
      <c r="Y12" s="650">
        <f t="shared" si="3"/>
        <v>8.2500000000000004E-2</v>
      </c>
      <c r="Z12" s="125">
        <f t="shared" si="0"/>
        <v>0.86087941990743411</v>
      </c>
      <c r="AA12" s="71">
        <f t="shared" si="4"/>
        <v>4.7262280152918133E-2</v>
      </c>
      <c r="AB12" s="95">
        <f t="shared" si="5"/>
        <v>0.16500000000000001</v>
      </c>
      <c r="AC12" s="95">
        <f t="shared" si="6"/>
        <v>7.1022552142363318E-2</v>
      </c>
      <c r="AD12" s="96">
        <f t="shared" si="7"/>
        <v>0.43043970995371705</v>
      </c>
      <c r="AE12" s="499">
        <f t="shared" si="8"/>
        <v>5603.8538181818194</v>
      </c>
      <c r="AF12" s="500">
        <f t="shared" si="9"/>
        <v>924.63588000000027</v>
      </c>
      <c r="AG12" s="499">
        <f t="shared" si="10"/>
        <v>398</v>
      </c>
      <c r="AH12" s="500">
        <f t="shared" si="11"/>
        <v>77.052990000000023</v>
      </c>
      <c r="AI12" s="500">
        <f t="shared" si="12"/>
        <v>539.37093000000016</v>
      </c>
      <c r="AJ12" s="500">
        <f t="shared" si="13"/>
        <v>398</v>
      </c>
      <c r="AK12" s="99">
        <f t="shared" si="14"/>
        <v>0.73789664563494339</v>
      </c>
      <c r="AL12" s="429">
        <f t="shared" si="15"/>
        <v>-141.37093000000016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0</v>
      </c>
      <c r="Q13" s="73">
        <f>+REMA!CX10</f>
        <v>0</v>
      </c>
      <c r="R13" s="73">
        <f>+REMA!CY10</f>
        <v>0</v>
      </c>
      <c r="S13" s="73">
        <f>+REMA!CZ10</f>
        <v>0</v>
      </c>
      <c r="T13" s="73">
        <f>+REMA!DA10</f>
        <v>0</v>
      </c>
      <c r="U13" s="74">
        <f t="shared" si="1"/>
        <v>294</v>
      </c>
      <c r="V13" s="74">
        <f>+Poblacion2024!G10</f>
        <v>5608.787878787879</v>
      </c>
      <c r="W13" s="76">
        <f t="shared" si="2"/>
        <v>5.2417742719757951E-2</v>
      </c>
      <c r="X13" s="650">
        <v>0.16500000000000001</v>
      </c>
      <c r="Y13" s="650">
        <f t="shared" si="3"/>
        <v>8.2500000000000004E-2</v>
      </c>
      <c r="Z13" s="125">
        <f t="shared" si="0"/>
        <v>0.6353665784213085</v>
      </c>
      <c r="AA13" s="71">
        <f t="shared" si="4"/>
        <v>3.4881625155329839E-2</v>
      </c>
      <c r="AB13" s="95">
        <f t="shared" si="5"/>
        <v>0.16500000000000001</v>
      </c>
      <c r="AC13" s="95">
        <f t="shared" si="6"/>
        <v>5.2417742719757951E-2</v>
      </c>
      <c r="AD13" s="96">
        <f t="shared" si="7"/>
        <v>0.31768328921065425</v>
      </c>
      <c r="AE13" s="499">
        <f t="shared" si="8"/>
        <v>5608.787878787879</v>
      </c>
      <c r="AF13" s="500">
        <f t="shared" si="9"/>
        <v>925.45</v>
      </c>
      <c r="AG13" s="499">
        <f t="shared" si="10"/>
        <v>294</v>
      </c>
      <c r="AH13" s="500">
        <f t="shared" si="11"/>
        <v>77.120833333333337</v>
      </c>
      <c r="AI13" s="500">
        <f t="shared" si="12"/>
        <v>539.8458333333333</v>
      </c>
      <c r="AJ13" s="500">
        <f t="shared" si="13"/>
        <v>294</v>
      </c>
      <c r="AK13" s="99">
        <f t="shared" si="14"/>
        <v>0.5445999243611217</v>
      </c>
      <c r="AL13" s="429">
        <f t="shared" si="15"/>
        <v>-245.8458333333333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0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6</v>
      </c>
      <c r="V14" s="74">
        <f>+Poblacion2024!G11</f>
        <v>150.63454545454545</v>
      </c>
      <c r="W14" s="76">
        <f t="shared" si="2"/>
        <v>3.9831500681963575E-2</v>
      </c>
      <c r="X14" s="650">
        <v>0.16500000000000001</v>
      </c>
      <c r="Y14" s="650">
        <f t="shared" si="3"/>
        <v>8.2500000000000004E-2</v>
      </c>
      <c r="Z14" s="125">
        <f t="shared" si="0"/>
        <v>0.48280606887228572</v>
      </c>
      <c r="AA14" s="71">
        <f t="shared" si="4"/>
        <v>2.6506053181088486E-2</v>
      </c>
      <c r="AB14" s="95">
        <f t="shared" si="5"/>
        <v>0.16500000000000001</v>
      </c>
      <c r="AC14" s="95">
        <f t="shared" si="6"/>
        <v>3.9831500681963575E-2</v>
      </c>
      <c r="AD14" s="96">
        <f t="shared" si="7"/>
        <v>0.24140303443614286</v>
      </c>
      <c r="AE14" s="499">
        <f t="shared" si="8"/>
        <v>150.63454545454545</v>
      </c>
      <c r="AF14" s="500">
        <f t="shared" si="9"/>
        <v>24.854700000000001</v>
      </c>
      <c r="AG14" s="499">
        <f t="shared" si="10"/>
        <v>6</v>
      </c>
      <c r="AH14" s="500">
        <f t="shared" si="11"/>
        <v>2.0712250000000001</v>
      </c>
      <c r="AI14" s="500">
        <f t="shared" si="12"/>
        <v>14.498575000000001</v>
      </c>
      <c r="AJ14" s="500">
        <f t="shared" si="13"/>
        <v>6</v>
      </c>
      <c r="AK14" s="99">
        <f t="shared" si="14"/>
        <v>0.41383377331910204</v>
      </c>
      <c r="AL14" s="429">
        <f t="shared" si="15"/>
        <v>-8.4985750000000007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+REMA!CP12</f>
        <v>68</v>
      </c>
      <c r="J15" s="114">
        <f>+REMA!CQ12</f>
        <v>18</v>
      </c>
      <c r="K15" s="114">
        <f>+REMA!CR12</f>
        <v>41</v>
      </c>
      <c r="L15" s="114">
        <f>+REMA!CS12</f>
        <v>34</v>
      </c>
      <c r="M15" s="114">
        <f>+REMA!CT12</f>
        <v>22</v>
      </c>
      <c r="N15" s="114">
        <f>+REMA!CU12</f>
        <v>32</v>
      </c>
      <c r="O15" s="114">
        <f>+REMA!CV12</f>
        <v>125</v>
      </c>
      <c r="P15" s="114">
        <f>+REMA!CW12</f>
        <v>0</v>
      </c>
      <c r="Q15" s="114">
        <f>+REMA!CX12</f>
        <v>0</v>
      </c>
      <c r="R15" s="114">
        <f>+REMA!CY12</f>
        <v>0</v>
      </c>
      <c r="S15" s="114">
        <f>+REMA!CZ12</f>
        <v>0</v>
      </c>
      <c r="T15" s="114">
        <f>+REMA!DA12</f>
        <v>0</v>
      </c>
      <c r="U15" s="115">
        <f t="shared" si="1"/>
        <v>340</v>
      </c>
      <c r="V15" s="115">
        <f>+Poblacion2024!G12</f>
        <v>1478.8734545454549</v>
      </c>
      <c r="W15" s="579">
        <f t="shared" si="2"/>
        <v>0.22990472846407406</v>
      </c>
      <c r="X15" s="650">
        <v>0.16500000000000001</v>
      </c>
      <c r="Y15" s="650">
        <f t="shared" si="3"/>
        <v>8.2500000000000004E-2</v>
      </c>
      <c r="Z15" s="134">
        <f t="shared" si="0"/>
        <v>1</v>
      </c>
      <c r="AA15" s="71">
        <f t="shared" si="4"/>
        <v>5.4900000000000004E-2</v>
      </c>
      <c r="AB15" s="557">
        <f t="shared" si="5"/>
        <v>0.16500000000000001</v>
      </c>
      <c r="AC15" s="557">
        <f t="shared" si="6"/>
        <v>0.22990472846407406</v>
      </c>
      <c r="AD15" s="558">
        <f t="shared" si="7"/>
        <v>1.3933619906913579</v>
      </c>
      <c r="AE15" s="601">
        <f t="shared" si="8"/>
        <v>1478.8734545454549</v>
      </c>
      <c r="AF15" s="602">
        <f t="shared" si="9"/>
        <v>244.01412000000008</v>
      </c>
      <c r="AG15" s="601">
        <f t="shared" si="10"/>
        <v>340</v>
      </c>
      <c r="AH15" s="500">
        <f t="shared" si="11"/>
        <v>20.334510000000005</v>
      </c>
      <c r="AI15" s="602">
        <f t="shared" si="12"/>
        <v>142.34157000000005</v>
      </c>
      <c r="AJ15" s="602">
        <f t="shared" si="13"/>
        <v>340</v>
      </c>
      <c r="AK15" s="544">
        <f t="shared" si="14"/>
        <v>2.3886205554708995</v>
      </c>
      <c r="AL15" s="429">
        <f t="shared" si="15"/>
        <v>197.65842999999995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 t="shared" ref="I16:T16" si="16">SUM(I9:I15)</f>
        <v>457</v>
      </c>
      <c r="J16" s="85">
        <f t="shared" si="16"/>
        <v>235</v>
      </c>
      <c r="K16" s="85">
        <f t="shared" si="16"/>
        <v>366</v>
      </c>
      <c r="L16" s="85">
        <f t="shared" si="16"/>
        <v>334</v>
      </c>
      <c r="M16" s="85">
        <f t="shared" si="16"/>
        <v>314</v>
      </c>
      <c r="N16" s="85">
        <f t="shared" si="16"/>
        <v>357</v>
      </c>
      <c r="O16" s="85">
        <f t="shared" si="16"/>
        <v>454</v>
      </c>
      <c r="P16" s="85">
        <f t="shared" si="16"/>
        <v>0</v>
      </c>
      <c r="Q16" s="85">
        <f t="shared" si="16"/>
        <v>0</v>
      </c>
      <c r="R16" s="85">
        <f t="shared" si="16"/>
        <v>0</v>
      </c>
      <c r="S16" s="85">
        <f t="shared" si="16"/>
        <v>0</v>
      </c>
      <c r="T16" s="85">
        <f t="shared" si="16"/>
        <v>0</v>
      </c>
      <c r="U16" s="85">
        <f>SUM(U9:U15)</f>
        <v>2517</v>
      </c>
      <c r="V16" s="539">
        <f>SUM(V9:V15)</f>
        <v>36846.36363636364</v>
      </c>
      <c r="W16" s="585">
        <f t="shared" si="2"/>
        <v>6.8310675779033325E-2</v>
      </c>
      <c r="X16" s="651">
        <v>0.16500000000000001</v>
      </c>
      <c r="Y16" s="651">
        <f t="shared" si="3"/>
        <v>8.2500000000000004E-2</v>
      </c>
      <c r="Z16" s="614">
        <f t="shared" si="0"/>
        <v>0.82800819126101</v>
      </c>
      <c r="AA16" s="71">
        <f t="shared" si="4"/>
        <v>4.5457649700229447E-2</v>
      </c>
      <c r="AB16" s="563">
        <f t="shared" si="5"/>
        <v>0.16500000000000001</v>
      </c>
      <c r="AC16" s="563">
        <f t="shared" si="6"/>
        <v>6.8310675779033325E-2</v>
      </c>
      <c r="AD16" s="564">
        <f t="shared" si="7"/>
        <v>0.414004095630505</v>
      </c>
      <c r="AE16" s="604">
        <f t="shared" si="8"/>
        <v>36846.36363636364</v>
      </c>
      <c r="AF16" s="604">
        <f t="shared" si="9"/>
        <v>6079.6500000000005</v>
      </c>
      <c r="AG16" s="604">
        <f t="shared" si="10"/>
        <v>2517</v>
      </c>
      <c r="AH16" s="605">
        <f>AF16/$AI$4</f>
        <v>506.63750000000005</v>
      </c>
      <c r="AI16" s="604">
        <f>AH16*$AI$5</f>
        <v>3546.4625000000005</v>
      </c>
      <c r="AJ16" s="604">
        <f t="shared" si="13"/>
        <v>2517</v>
      </c>
      <c r="AK16" s="549">
        <f>AJ16/AI16</f>
        <v>0.70972130679515144</v>
      </c>
      <c r="AL16" s="429">
        <f t="shared" si="15"/>
        <v>-1029.4625000000005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2"/>
      <c r="AC17" s="122"/>
    </row>
    <row r="18" spans="3:29" ht="17.25" hidden="1" x14ac:dyDescent="0.3">
      <c r="G18" s="16" t="s">
        <v>16</v>
      </c>
      <c r="H18" s="129" t="e">
        <f>+REMA!#REF!</f>
        <v>#REF!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0">
        <v>4869.7102613939387</v>
      </c>
      <c r="W18" s="131" t="e">
        <f>IF(V18=0,0,+H18/V18)</f>
        <v>#REF!</v>
      </c>
      <c r="X18" s="120">
        <v>0.22</v>
      </c>
      <c r="Y18" s="70">
        <f t="shared" ref="Y18:Y21" si="17">+X18*0.6</f>
        <v>0.13200000000000001</v>
      </c>
      <c r="Z18" s="132" t="e">
        <f>IF(+W18/Y18&gt;1,1,+W18/Y18)</f>
        <v>#REF!</v>
      </c>
      <c r="AA18" s="71" t="e">
        <f t="shared" ref="AA18:AA21" si="18">+Z18*5.21/100</f>
        <v>#REF!</v>
      </c>
      <c r="AB18" s="122"/>
      <c r="AC18" s="123"/>
    </row>
    <row r="19" spans="3:29" ht="17.25" hidden="1" x14ac:dyDescent="0.3">
      <c r="G19" s="19" t="s">
        <v>17</v>
      </c>
      <c r="H19" s="114" t="e">
        <f>+REMA!#REF!</f>
        <v>#REF!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>
        <v>3869.8163636363638</v>
      </c>
      <c r="W19" s="133" t="e">
        <f>IF(V19=0,0,+H19/V19)</f>
        <v>#REF!</v>
      </c>
      <c r="X19" s="124">
        <v>0.22</v>
      </c>
      <c r="Y19" s="76">
        <f t="shared" si="17"/>
        <v>0.13200000000000001</v>
      </c>
      <c r="Z19" s="134" t="e">
        <f>IF(+W19/Y19&gt;1,1,+W19/Y19)</f>
        <v>#REF!</v>
      </c>
      <c r="AA19" s="77" t="e">
        <f t="shared" si="18"/>
        <v>#REF!</v>
      </c>
      <c r="AB19" s="122"/>
      <c r="AC19" s="123"/>
    </row>
    <row r="20" spans="3:29" ht="17.25" hidden="1" x14ac:dyDescent="0.3">
      <c r="G20" s="28" t="s">
        <v>18</v>
      </c>
      <c r="H20" s="114" t="e">
        <f>+REMA!#REF!</f>
        <v>#REF!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5">
        <v>675.03217484334436</v>
      </c>
      <c r="W20" s="133" t="e">
        <f>IF(V20=0,0,+H20/V20)</f>
        <v>#REF!</v>
      </c>
      <c r="X20" s="124">
        <v>0.22</v>
      </c>
      <c r="Y20" s="76">
        <f t="shared" si="17"/>
        <v>0.13200000000000001</v>
      </c>
      <c r="Z20" s="134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>
        <v>5765.9438630908926</v>
      </c>
      <c r="W21" s="126" t="e">
        <f>IF(V21=0,0,+H21/V21)</f>
        <v>#REF!</v>
      </c>
      <c r="X21" s="127">
        <v>0.22</v>
      </c>
      <c r="Y21" s="83">
        <f t="shared" si="17"/>
        <v>0.13200000000000001</v>
      </c>
      <c r="Z21" s="128" t="e">
        <f>IF(+W21/Y21&gt;1,1,+W21/Y21)</f>
        <v>#REF!</v>
      </c>
      <c r="AA21" s="84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5" t="e">
        <f>SUM(H9:H21)</f>
        <v>#REF!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>
        <f>SUM(V9:V21)</f>
        <v>88873.229935691823</v>
      </c>
      <c r="W23" s="135" t="e">
        <f>IF(V23=0,0,+H23/V23)</f>
        <v>#REF!</v>
      </c>
    </row>
    <row r="24" spans="3:29" ht="15.75" thickBot="1" x14ac:dyDescent="0.3"/>
    <row r="25" spans="3:29" ht="18" thickBot="1" x14ac:dyDescent="0.35">
      <c r="G25" s="753" t="s">
        <v>20</v>
      </c>
      <c r="N25" s="6"/>
      <c r="O25" s="6"/>
      <c r="P25" s="6"/>
      <c r="Q25" s="6"/>
      <c r="R25" s="6"/>
      <c r="S25" s="6"/>
      <c r="T25" s="6"/>
      <c r="U25" s="6"/>
      <c r="V25" s="6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6"/>
    </row>
    <row r="27" spans="3:29" ht="18" thickBot="1" x14ac:dyDescent="0.35">
      <c r="G27" s="753" t="s">
        <v>501</v>
      </c>
      <c r="N27" s="6"/>
      <c r="O27" s="6"/>
      <c r="P27" s="6"/>
      <c r="Q27" s="6"/>
      <c r="R27" s="6"/>
      <c r="S27" s="6"/>
      <c r="T27" s="6"/>
      <c r="U27" s="6"/>
      <c r="V27" s="6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6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6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6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6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topLeftCell="U1" zoomScale="60" zoomScaleNormal="60" workbookViewId="0">
      <selection activeCell="AR7" sqref="AR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2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864" t="s">
        <v>515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2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H5" s="88" t="s">
        <v>46</v>
      </c>
      <c r="AI5" s="89">
        <f>meta3!AB2</f>
        <v>7</v>
      </c>
      <c r="AJ5" s="6"/>
      <c r="AK5" s="5"/>
      <c r="AL5" s="5"/>
      <c r="AR5" s="138" t="s">
        <v>86</v>
      </c>
      <c r="AS5" s="138"/>
      <c r="AT5" s="138" t="s">
        <v>87</v>
      </c>
    </row>
    <row r="6" spans="1:52" ht="51.7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907">
        <f>+NOMBRE!$B$9</f>
        <v>2024</v>
      </c>
      <c r="Y6" s="908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6"/>
      <c r="AR6" s="906"/>
      <c r="AS6" s="906"/>
      <c r="AT6" s="906"/>
    </row>
    <row r="7" spans="1:52" ht="85.5" customHeight="1" thickBot="1" x14ac:dyDescent="0.3">
      <c r="G7" s="58"/>
      <c r="H7" s="909" t="s">
        <v>465</v>
      </c>
      <c r="I7" s="910"/>
      <c r="J7" s="910"/>
      <c r="K7" s="910"/>
      <c r="L7" s="910"/>
      <c r="M7" s="910"/>
      <c r="N7" s="910"/>
      <c r="O7" s="910"/>
      <c r="P7" s="910"/>
      <c r="Q7" s="910"/>
      <c r="R7" s="910"/>
      <c r="S7" s="910"/>
      <c r="T7" s="910"/>
      <c r="U7" s="911"/>
      <c r="V7" s="139" t="s">
        <v>89</v>
      </c>
      <c r="W7" s="871"/>
      <c r="X7" s="12" t="s">
        <v>11</v>
      </c>
      <c r="Y7" s="12" t="s">
        <v>463</v>
      </c>
      <c r="Z7" s="14" t="s">
        <v>13</v>
      </c>
      <c r="AA7" s="14" t="s">
        <v>502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318" t="s">
        <v>489</v>
      </c>
      <c r="AR7" s="318" t="s">
        <v>490</v>
      </c>
      <c r="AS7" s="318" t="s">
        <v>496</v>
      </c>
      <c r="AT7" s="318" t="s">
        <v>491</v>
      </c>
      <c r="AV7" s="141"/>
      <c r="AW7" s="142"/>
      <c r="AX7" s="142"/>
      <c r="AY7" s="142"/>
      <c r="AZ7" s="142"/>
    </row>
    <row r="8" spans="1:52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441"/>
      <c r="X8" s="680">
        <f>indicadores!E23</f>
        <v>0.1119</v>
      </c>
      <c r="Y8" s="483">
        <f>indicadores!$D$54</f>
        <v>0.5</v>
      </c>
      <c r="Z8" s="442"/>
      <c r="AA8" s="754">
        <v>3.3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708"/>
      <c r="AR8" s="708"/>
      <c r="AS8" s="708"/>
      <c r="AT8" s="716" t="s">
        <v>497</v>
      </c>
      <c r="AV8" s="141"/>
      <c r="AW8" s="142"/>
      <c r="AX8" s="142"/>
      <c r="AY8" s="142"/>
      <c r="AZ8" s="142"/>
    </row>
    <row r="9" spans="1:52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467</v>
      </c>
      <c r="V9" s="68">
        <f>AT9</f>
        <v>11420.214999999998</v>
      </c>
      <c r="W9" s="506">
        <f>IF(V9=0,0,+U9/V9)</f>
        <v>4.0892400011733589E-2</v>
      </c>
      <c r="X9" s="519">
        <f>$X$8</f>
        <v>0.1119</v>
      </c>
      <c r="Y9" s="37">
        <f>+X9*$Y$8</f>
        <v>5.595E-2</v>
      </c>
      <c r="Z9" s="110">
        <f t="shared" ref="Z9:Z16" si="0">IF(+W9/Y9&gt;1,1,+W9/Y9)</f>
        <v>0.73087399484778537</v>
      </c>
      <c r="AA9" s="110">
        <f>+Z9*$AA$8/100</f>
        <v>2.4118841829976919E-2</v>
      </c>
      <c r="AB9" s="146">
        <f>X9</f>
        <v>0.1119</v>
      </c>
      <c r="AC9" s="146">
        <f>(AG9/AE9)</f>
        <v>4.0892400011733589E-2</v>
      </c>
      <c r="AD9" s="147">
        <f>AC9/AB9</f>
        <v>0.36543699742389268</v>
      </c>
      <c r="AE9" s="97">
        <f>V9</f>
        <v>11420.214999999998</v>
      </c>
      <c r="AF9" s="98">
        <f>AE9*AB9</f>
        <v>1277.9220584999998</v>
      </c>
      <c r="AG9" s="97">
        <f>U9</f>
        <v>467</v>
      </c>
      <c r="AH9" s="98">
        <f>AF9/$AI$4</f>
        <v>106.49350487499999</v>
      </c>
      <c r="AI9" s="98">
        <f>AH9*$AI$5</f>
        <v>745.4545341249999</v>
      </c>
      <c r="AJ9" s="98">
        <f>U9</f>
        <v>467</v>
      </c>
      <c r="AK9" s="99">
        <f>AJ9/AI9</f>
        <v>0.62646342415524447</v>
      </c>
      <c r="AL9" s="429">
        <f>(AI9-AJ9)*-1</f>
        <v>-278.4545341249999</v>
      </c>
      <c r="AP9" s="143"/>
      <c r="AQ9" s="717">
        <f>SUM('[1]INSCRITA PERCAPITA 2024'!$CF$34:$CN$34)</f>
        <v>12283.214999999998</v>
      </c>
      <c r="AR9" s="715">
        <f>REMP!G6</f>
        <v>763</v>
      </c>
      <c r="AS9" s="715">
        <f>REMP!M6</f>
        <v>100</v>
      </c>
      <c r="AT9" s="715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469</v>
      </c>
      <c r="V10" s="73">
        <f>AT10</f>
        <v>7261</v>
      </c>
      <c r="W10" s="507">
        <f t="shared" ref="W10:W16" si="2">IF(V10=0,0,+U10/V10)</f>
        <v>6.4591654042142954E-2</v>
      </c>
      <c r="X10" s="520">
        <f t="shared" ref="X10:X16" si="3">$X$8</f>
        <v>0.1119</v>
      </c>
      <c r="Y10" s="42">
        <f t="shared" ref="Y10:Y16" si="4">+X10*$Y$8</f>
        <v>5.595E-2</v>
      </c>
      <c r="Z10" s="113">
        <f t="shared" si="0"/>
        <v>1</v>
      </c>
      <c r="AA10" s="113">
        <f t="shared" ref="AA10:AA16" si="5">+Z10*$AA$8/100</f>
        <v>3.3000000000000002E-2</v>
      </c>
      <c r="AB10" s="146">
        <f t="shared" ref="AB10:AB16" si="6">X10</f>
        <v>0.1119</v>
      </c>
      <c r="AC10" s="146">
        <f t="shared" ref="AC10:AC16" si="7">(AG10/AE10)</f>
        <v>6.4591654042142954E-2</v>
      </c>
      <c r="AD10" s="147">
        <f t="shared" ref="AD10:AD16" si="8">AC10/AB10</f>
        <v>0.57722657767777441</v>
      </c>
      <c r="AE10" s="97">
        <f t="shared" ref="AE10:AE16" si="9">V10</f>
        <v>7261</v>
      </c>
      <c r="AF10" s="98">
        <f t="shared" ref="AF10:AF16" si="10">AE10*AB10</f>
        <v>812.5059</v>
      </c>
      <c r="AG10" s="97">
        <f t="shared" ref="AG10:AG16" si="11">U10</f>
        <v>469</v>
      </c>
      <c r="AH10" s="98">
        <f t="shared" ref="AH10:AH15" si="12">AF10/$AI$4</f>
        <v>67.708825000000004</v>
      </c>
      <c r="AI10" s="98">
        <f t="shared" ref="AI10:AI16" si="13">AH10*$AI$5</f>
        <v>473.96177500000005</v>
      </c>
      <c r="AJ10" s="98">
        <f t="shared" ref="AJ10:AJ16" si="14">U10</f>
        <v>469</v>
      </c>
      <c r="AK10" s="99">
        <f t="shared" ref="AK10:AK16" si="15">AJ10/AI10</f>
        <v>0.98953127601904178</v>
      </c>
      <c r="AL10" s="429">
        <f t="shared" ref="AL10:AL16" si="16">(AI10-AJ10)*-1</f>
        <v>-4.9617750000000456</v>
      </c>
      <c r="AP10" s="143"/>
      <c r="AQ10" s="717">
        <f>SUM('[1]INSCRITA PERCAPITA 2024'!$CF$35:$CN$35)</f>
        <v>7850</v>
      </c>
      <c r="AR10" s="715">
        <f>REMP!G7</f>
        <v>500</v>
      </c>
      <c r="AS10" s="715">
        <f>REMP!M7</f>
        <v>89</v>
      </c>
      <c r="AT10" s="715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511</v>
      </c>
      <c r="V11" s="73">
        <f t="shared" ref="V11:V15" si="18">AT11</f>
        <v>6343</v>
      </c>
      <c r="W11" s="507">
        <f t="shared" si="2"/>
        <v>8.0561248620526563E-2</v>
      </c>
      <c r="X11" s="520">
        <f t="shared" si="3"/>
        <v>0.1119</v>
      </c>
      <c r="Y11" s="42">
        <f t="shared" si="4"/>
        <v>5.595E-2</v>
      </c>
      <c r="Z11" s="113">
        <f t="shared" si="0"/>
        <v>1</v>
      </c>
      <c r="AA11" s="113">
        <f t="shared" si="5"/>
        <v>3.3000000000000002E-2</v>
      </c>
      <c r="AB11" s="146">
        <f t="shared" si="6"/>
        <v>0.1119</v>
      </c>
      <c r="AC11" s="146">
        <f t="shared" si="7"/>
        <v>8.0561248620526563E-2</v>
      </c>
      <c r="AD11" s="147">
        <f t="shared" si="8"/>
        <v>0.71993966595644832</v>
      </c>
      <c r="AE11" s="97">
        <f t="shared" si="9"/>
        <v>6343</v>
      </c>
      <c r="AF11" s="98">
        <f t="shared" si="10"/>
        <v>709.7817</v>
      </c>
      <c r="AG11" s="97">
        <f t="shared" si="11"/>
        <v>511</v>
      </c>
      <c r="AH11" s="98">
        <f t="shared" si="12"/>
        <v>59.148474999999998</v>
      </c>
      <c r="AI11" s="98">
        <f t="shared" si="13"/>
        <v>414.03932499999996</v>
      </c>
      <c r="AJ11" s="98">
        <f t="shared" si="14"/>
        <v>511</v>
      </c>
      <c r="AK11" s="99">
        <f t="shared" si="15"/>
        <v>1.2341822844967687</v>
      </c>
      <c r="AL11" s="429">
        <f t="shared" si="16"/>
        <v>96.960675000000037</v>
      </c>
      <c r="AP11" s="143"/>
      <c r="AQ11" s="717">
        <f>SUM('[1]INSCRITA PERCAPITA 2024'!$CF$38:$CN$38)</f>
        <v>6728</v>
      </c>
      <c r="AR11" s="715">
        <f>REMP!G8</f>
        <v>304</v>
      </c>
      <c r="AS11" s="715">
        <f>REMP!M8</f>
        <v>81</v>
      </c>
      <c r="AT11" s="715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365</v>
      </c>
      <c r="V12" s="73">
        <f t="shared" si="18"/>
        <v>5713.6552000000011</v>
      </c>
      <c r="W12" s="507">
        <f t="shared" si="2"/>
        <v>6.3882048745258546E-2</v>
      </c>
      <c r="X12" s="520">
        <f t="shared" si="3"/>
        <v>0.1119</v>
      </c>
      <c r="Y12" s="42">
        <f t="shared" si="4"/>
        <v>5.595E-2</v>
      </c>
      <c r="Z12" s="113">
        <f t="shared" si="0"/>
        <v>1</v>
      </c>
      <c r="AA12" s="113">
        <f t="shared" si="5"/>
        <v>3.3000000000000002E-2</v>
      </c>
      <c r="AB12" s="146">
        <f t="shared" si="6"/>
        <v>0.1119</v>
      </c>
      <c r="AC12" s="146">
        <f t="shared" si="7"/>
        <v>6.3882048745258546E-2</v>
      </c>
      <c r="AD12" s="147">
        <f t="shared" si="8"/>
        <v>0.57088515411312379</v>
      </c>
      <c r="AE12" s="97">
        <f t="shared" si="9"/>
        <v>5713.6552000000011</v>
      </c>
      <c r="AF12" s="98">
        <f t="shared" si="10"/>
        <v>639.35801688000015</v>
      </c>
      <c r="AG12" s="97">
        <f t="shared" si="11"/>
        <v>365</v>
      </c>
      <c r="AH12" s="98">
        <f t="shared" si="12"/>
        <v>53.279834740000013</v>
      </c>
      <c r="AI12" s="98">
        <f t="shared" si="13"/>
        <v>372.95884318000009</v>
      </c>
      <c r="AJ12" s="98">
        <f t="shared" si="14"/>
        <v>365</v>
      </c>
      <c r="AK12" s="99">
        <f t="shared" si="15"/>
        <v>0.97866026419392627</v>
      </c>
      <c r="AL12" s="429">
        <f t="shared" si="16"/>
        <v>-7.9588431800000876</v>
      </c>
      <c r="AP12" s="143"/>
      <c r="AQ12" s="717">
        <f>SUM('[1]INSCRITA PERCAPITA 2024'!$CF$37:$CN$37)</f>
        <v>6306.6552000000011</v>
      </c>
      <c r="AR12" s="715">
        <f>REMP!G9</f>
        <v>512</v>
      </c>
      <c r="AS12" s="715">
        <f>REMP!M9</f>
        <v>81</v>
      </c>
      <c r="AT12" s="715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469</v>
      </c>
      <c r="V13" s="73">
        <f t="shared" si="18"/>
        <v>5509</v>
      </c>
      <c r="W13" s="507">
        <f t="shared" si="2"/>
        <v>8.5133418043202028E-2</v>
      </c>
      <c r="X13" s="520">
        <f t="shared" si="3"/>
        <v>0.1119</v>
      </c>
      <c r="Y13" s="42">
        <f t="shared" si="4"/>
        <v>5.595E-2</v>
      </c>
      <c r="Z13" s="113">
        <f t="shared" si="0"/>
        <v>1</v>
      </c>
      <c r="AA13" s="113">
        <f t="shared" si="5"/>
        <v>3.3000000000000002E-2</v>
      </c>
      <c r="AB13" s="146">
        <f t="shared" si="6"/>
        <v>0.1119</v>
      </c>
      <c r="AC13" s="146">
        <f t="shared" si="7"/>
        <v>8.5133418043202028E-2</v>
      </c>
      <c r="AD13" s="147">
        <f t="shared" si="8"/>
        <v>0.76079908885792702</v>
      </c>
      <c r="AE13" s="97">
        <f t="shared" si="9"/>
        <v>5509</v>
      </c>
      <c r="AF13" s="98">
        <f t="shared" si="10"/>
        <v>616.45709999999997</v>
      </c>
      <c r="AG13" s="97">
        <f t="shared" si="11"/>
        <v>469</v>
      </c>
      <c r="AH13" s="98">
        <f t="shared" si="12"/>
        <v>51.371424999999995</v>
      </c>
      <c r="AI13" s="98">
        <f t="shared" si="13"/>
        <v>359.59997499999997</v>
      </c>
      <c r="AJ13" s="98">
        <f t="shared" si="14"/>
        <v>469</v>
      </c>
      <c r="AK13" s="99">
        <f t="shared" si="15"/>
        <v>1.3042270094707322</v>
      </c>
      <c r="AL13" s="429">
        <f t="shared" si="16"/>
        <v>109.40002500000003</v>
      </c>
      <c r="AP13" s="143"/>
      <c r="AQ13" s="717">
        <f>SUM('[1]INSCRITA PERCAPITA 2024'!$CF$36:$CN$36)</f>
        <v>6118</v>
      </c>
      <c r="AR13" s="715">
        <f>REMP!G10</f>
        <v>529</v>
      </c>
      <c r="AS13" s="715">
        <f>REMP!M10</f>
        <v>80</v>
      </c>
      <c r="AT13" s="715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7</v>
      </c>
      <c r="V14" s="73">
        <f t="shared" si="18"/>
        <v>145.785</v>
      </c>
      <c r="W14" s="507">
        <f t="shared" si="2"/>
        <v>4.8015913845731728E-2</v>
      </c>
      <c r="X14" s="520">
        <f t="shared" si="3"/>
        <v>0.1119</v>
      </c>
      <c r="Y14" s="42">
        <f t="shared" si="4"/>
        <v>5.595E-2</v>
      </c>
      <c r="Z14" s="113">
        <f t="shared" si="0"/>
        <v>0.85819327695677794</v>
      </c>
      <c r="AA14" s="113">
        <f t="shared" si="5"/>
        <v>2.8320378139573669E-2</v>
      </c>
      <c r="AB14" s="146">
        <f t="shared" si="6"/>
        <v>0.1119</v>
      </c>
      <c r="AC14" s="146">
        <f t="shared" si="7"/>
        <v>4.8015913845731728E-2</v>
      </c>
      <c r="AD14" s="147">
        <f t="shared" si="8"/>
        <v>0.42909663847838897</v>
      </c>
      <c r="AE14" s="97">
        <f t="shared" si="9"/>
        <v>145.785</v>
      </c>
      <c r="AF14" s="98">
        <f t="shared" si="10"/>
        <v>16.3133415</v>
      </c>
      <c r="AG14" s="97">
        <f t="shared" si="11"/>
        <v>7</v>
      </c>
      <c r="AH14" s="98">
        <f t="shared" si="12"/>
        <v>1.3594451249999999</v>
      </c>
      <c r="AI14" s="98">
        <f t="shared" si="13"/>
        <v>9.5161158749999988</v>
      </c>
      <c r="AJ14" s="98">
        <f t="shared" si="14"/>
        <v>7</v>
      </c>
      <c r="AK14" s="99">
        <f t="shared" si="15"/>
        <v>0.73559423739152408</v>
      </c>
      <c r="AL14" s="429">
        <f t="shared" si="16"/>
        <v>-2.5161158749999988</v>
      </c>
      <c r="AP14" s="143"/>
      <c r="AQ14" s="717">
        <f>SUM('[1]INSCRITA PERCAPITA 2024'!$CF$39:$CN$39)</f>
        <v>161.785</v>
      </c>
      <c r="AR14" s="715">
        <f>REMP!G11</f>
        <v>15</v>
      </c>
      <c r="AS14" s="715">
        <f>REMP!M11</f>
        <v>1</v>
      </c>
      <c r="AT14" s="715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+REMA!E12</f>
        <v>4</v>
      </c>
      <c r="J15" s="114">
        <f>+REMA!F12</f>
        <v>3</v>
      </c>
      <c r="K15" s="114">
        <f>+REMA!G12</f>
        <v>7</v>
      </c>
      <c r="L15" s="114">
        <f>+REMA!H12</f>
        <v>0</v>
      </c>
      <c r="M15" s="114">
        <f>+REMA!I12</f>
        <v>1</v>
      </c>
      <c r="N15" s="114">
        <f>+REMA!J12</f>
        <v>15</v>
      </c>
      <c r="O15" s="114">
        <f>+REMA!K12</f>
        <v>15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45</v>
      </c>
      <c r="V15" s="73">
        <f t="shared" si="18"/>
        <v>1530.3448000000001</v>
      </c>
      <c r="W15" s="508">
        <f t="shared" si="2"/>
        <v>2.9405137979362558E-2</v>
      </c>
      <c r="X15" s="662">
        <f t="shared" si="3"/>
        <v>0.1119</v>
      </c>
      <c r="Y15" s="55">
        <f t="shared" si="4"/>
        <v>5.595E-2</v>
      </c>
      <c r="Z15" s="116">
        <f t="shared" si="0"/>
        <v>0.52556100052479993</v>
      </c>
      <c r="AA15" s="116">
        <f t="shared" si="5"/>
        <v>1.7343513017318398E-2</v>
      </c>
      <c r="AB15" s="542">
        <f t="shared" si="6"/>
        <v>0.1119</v>
      </c>
      <c r="AC15" s="542">
        <f t="shared" si="7"/>
        <v>2.9405137979362558E-2</v>
      </c>
      <c r="AD15" s="543">
        <f t="shared" si="8"/>
        <v>0.26278050026239996</v>
      </c>
      <c r="AE15" s="97">
        <f t="shared" si="9"/>
        <v>1530.3448000000001</v>
      </c>
      <c r="AF15" s="98">
        <f t="shared" si="10"/>
        <v>171.24558312000002</v>
      </c>
      <c r="AG15" s="97">
        <f t="shared" si="11"/>
        <v>45</v>
      </c>
      <c r="AH15" s="98">
        <f t="shared" si="12"/>
        <v>14.270465260000002</v>
      </c>
      <c r="AI15" s="98">
        <f t="shared" si="13"/>
        <v>99.893256820000005</v>
      </c>
      <c r="AJ15" s="98">
        <f t="shared" si="14"/>
        <v>45</v>
      </c>
      <c r="AK15" s="544">
        <f t="shared" si="15"/>
        <v>0.45048085759268569</v>
      </c>
      <c r="AL15" s="429">
        <f t="shared" si="16"/>
        <v>-54.893256820000005</v>
      </c>
      <c r="AP15" s="143"/>
      <c r="AQ15" s="710">
        <f>SUM('[1]INSCRITA PERCAPITA 2024'!$CF$40:$CN$40)</f>
        <v>1664.3448000000001</v>
      </c>
      <c r="AR15" s="718">
        <f>REMP!G12</f>
        <v>110</v>
      </c>
      <c r="AS15" s="718">
        <f>REMP!M12</f>
        <v>24</v>
      </c>
      <c r="AT15" s="718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357</v>
      </c>
      <c r="J16" s="85">
        <f t="shared" ref="J16:T16" si="19">SUM(J9:J15)</f>
        <v>174</v>
      </c>
      <c r="K16" s="85">
        <f t="shared" si="19"/>
        <v>243</v>
      </c>
      <c r="L16" s="85">
        <f t="shared" si="19"/>
        <v>391</v>
      </c>
      <c r="M16" s="85">
        <f t="shared" si="19"/>
        <v>394</v>
      </c>
      <c r="N16" s="85">
        <f t="shared" si="19"/>
        <v>391</v>
      </c>
      <c r="O16" s="85">
        <f t="shared" si="19"/>
        <v>383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2333</v>
      </c>
      <c r="V16" s="86">
        <f>AT16</f>
        <v>37923</v>
      </c>
      <c r="W16" s="691">
        <f t="shared" si="2"/>
        <v>6.1519394562666453E-2</v>
      </c>
      <c r="X16" s="509">
        <f t="shared" si="3"/>
        <v>0.1119</v>
      </c>
      <c r="Y16" s="509">
        <f t="shared" si="4"/>
        <v>5.595E-2</v>
      </c>
      <c r="Z16" s="614">
        <f t="shared" si="0"/>
        <v>1</v>
      </c>
      <c r="AA16" s="510">
        <f t="shared" si="5"/>
        <v>3.3000000000000002E-2</v>
      </c>
      <c r="AB16" s="545">
        <f t="shared" si="6"/>
        <v>0.1119</v>
      </c>
      <c r="AC16" s="545">
        <f t="shared" si="7"/>
        <v>6.1519394562666453E-2</v>
      </c>
      <c r="AD16" s="546">
        <f t="shared" si="8"/>
        <v>0.54977117571641154</v>
      </c>
      <c r="AE16" s="547">
        <f t="shared" si="9"/>
        <v>37923</v>
      </c>
      <c r="AF16" s="548">
        <f t="shared" si="10"/>
        <v>4243.5837000000001</v>
      </c>
      <c r="AG16" s="547">
        <f t="shared" si="11"/>
        <v>2333</v>
      </c>
      <c r="AH16" s="547">
        <f>AF16/$AI$4</f>
        <v>353.63197500000001</v>
      </c>
      <c r="AI16" s="547">
        <f t="shared" si="13"/>
        <v>2475.4238249999999</v>
      </c>
      <c r="AJ16" s="547">
        <f t="shared" si="14"/>
        <v>2333</v>
      </c>
      <c r="AK16" s="549">
        <f t="shared" si="15"/>
        <v>0.94246487265670564</v>
      </c>
      <c r="AL16" s="429">
        <f t="shared" si="16"/>
        <v>-142.42382499999985</v>
      </c>
      <c r="AP16" s="143" t="s">
        <v>15</v>
      </c>
      <c r="AQ16" s="711">
        <f>SUM(AQ9:AQ15)</f>
        <v>41112</v>
      </c>
      <c r="AR16" s="719">
        <f>SUM(AR9:AR15)</f>
        <v>2733</v>
      </c>
      <c r="AS16" s="719">
        <f>SUM(AS9:AS15)</f>
        <v>456</v>
      </c>
      <c r="AT16" s="712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2024-09-02T14:07:17Z</dcterms:modified>
</cp:coreProperties>
</file>